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QAC Shared Folder\NAAC 2024\DVV_By_NAAC\DVV_Clarifications\29_3.4.5_Criteria_III\"/>
    </mc:Choice>
  </mc:AlternateContent>
  <bookViews>
    <workbookView xWindow="0" yWindow="0" windowWidth="23040" windowHeight="9390"/>
  </bookViews>
  <sheets>
    <sheet name="3.4.5_Revised" sheetId="1" r:id="rId1"/>
  </sheets>
  <definedNames>
    <definedName name="_xlnm._FilterDatabase" localSheetId="0" hidden="1">'3.4.5_Revised'!$A$3:$I$1970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90" i="1" l="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2" i="1"/>
  <c r="I861" i="1"/>
  <c r="I860" i="1"/>
  <c r="I859" i="1"/>
  <c r="I858" i="1"/>
  <c r="I857" i="1"/>
  <c r="I856" i="1"/>
  <c r="I855" i="1"/>
  <c r="I854" i="1"/>
  <c r="I853" i="1"/>
  <c r="I852" i="1"/>
  <c r="I851" i="1"/>
  <c r="I850" i="1"/>
  <c r="I849" i="1"/>
  <c r="I848" i="1"/>
  <c r="I847" i="1"/>
  <c r="I846" i="1"/>
  <c r="I845" i="1"/>
  <c r="I844" i="1"/>
  <c r="I842" i="1"/>
  <c r="I841" i="1"/>
  <c r="I840" i="1"/>
  <c r="I839" i="1"/>
  <c r="I838" i="1"/>
  <c r="I837" i="1"/>
  <c r="I836" i="1"/>
  <c r="I835" i="1"/>
  <c r="I834" i="1"/>
  <c r="I833" i="1"/>
  <c r="I832"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59" i="1"/>
  <c r="I758" i="1"/>
  <c r="I757" i="1"/>
  <c r="I756" i="1"/>
  <c r="I755" i="1"/>
  <c r="I754" i="1"/>
  <c r="I753" i="1"/>
  <c r="I752" i="1"/>
  <c r="I751" i="1"/>
  <c r="I750" i="1"/>
  <c r="I748" i="1"/>
  <c r="I747" i="1"/>
  <c r="I746" i="1"/>
  <c r="I745" i="1"/>
  <c r="I744" i="1"/>
  <c r="I743" i="1"/>
  <c r="I742" i="1"/>
  <c r="I741" i="1"/>
  <c r="I740" i="1"/>
  <c r="I739" i="1"/>
  <c r="I738" i="1"/>
  <c r="I736" i="1"/>
  <c r="I735" i="1"/>
  <c r="I733" i="1"/>
  <c r="I732" i="1"/>
  <c r="I731" i="1"/>
  <c r="I730" i="1"/>
  <c r="I729" i="1"/>
  <c r="I728" i="1"/>
  <c r="I727" i="1"/>
  <c r="I726" i="1"/>
  <c r="I725" i="1"/>
  <c r="I724" i="1"/>
  <c r="I723" i="1"/>
  <c r="I722" i="1"/>
  <c r="I721" i="1"/>
  <c r="I720" i="1"/>
  <c r="I719" i="1"/>
  <c r="I718" i="1"/>
  <c r="I717" i="1"/>
  <c r="I716" i="1"/>
  <c r="I715" i="1"/>
  <c r="I714" i="1"/>
  <c r="I713" i="1"/>
  <c r="I712" i="1"/>
  <c r="I711" i="1"/>
  <c r="I710" i="1"/>
  <c r="I708" i="1"/>
  <c r="I707" i="1"/>
  <c r="I706" i="1"/>
  <c r="I705"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0" i="1"/>
  <c r="I559" i="1"/>
  <c r="I558" i="1"/>
  <c r="I557" i="1"/>
  <c r="I556" i="1"/>
  <c r="I555" i="1"/>
  <c r="I554" i="1"/>
  <c r="I553" i="1"/>
  <c r="I552" i="1"/>
  <c r="I551" i="1"/>
  <c r="I550" i="1"/>
  <c r="I549" i="1"/>
  <c r="I548" i="1"/>
  <c r="I547" i="1"/>
  <c r="I546" i="1"/>
  <c r="I545" i="1"/>
  <c r="I544" i="1"/>
  <c r="I543" i="1"/>
  <c r="I542" i="1"/>
  <c r="I541" i="1"/>
  <c r="I539" i="1"/>
  <c r="I538" i="1"/>
  <c r="I536" i="1"/>
  <c r="I534" i="1"/>
  <c r="I533" i="1"/>
  <c r="I532" i="1"/>
  <c r="I531" i="1"/>
  <c r="I530" i="1"/>
  <c r="I529" i="1"/>
  <c r="I528" i="1"/>
  <c r="I527" i="1"/>
  <c r="I526" i="1"/>
  <c r="I525" i="1"/>
  <c r="I524" i="1"/>
  <c r="I523" i="1"/>
  <c r="I522" i="1"/>
  <c r="I521" i="1"/>
  <c r="I520" i="1"/>
  <c r="I519" i="1"/>
  <c r="I518" i="1"/>
  <c r="I517" i="1"/>
  <c r="I516"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5" i="1"/>
  <c r="I444" i="1"/>
  <c r="I443" i="1"/>
  <c r="I442" i="1"/>
  <c r="I441" i="1"/>
  <c r="I440" i="1"/>
  <c r="I439" i="1"/>
  <c r="I438" i="1"/>
  <c r="I437" i="1"/>
  <c r="I435" i="1"/>
  <c r="I434" i="1"/>
  <c r="I433" i="1"/>
  <c r="I431" i="1"/>
  <c r="I430" i="1"/>
  <c r="I429" i="1"/>
  <c r="I428" i="1"/>
  <c r="I427" i="1"/>
  <c r="I425" i="1"/>
  <c r="I424" i="1"/>
  <c r="I423" i="1"/>
  <c r="I422" i="1"/>
  <c r="I421" i="1"/>
  <c r="I420" i="1"/>
  <c r="I419" i="1"/>
  <c r="I418" i="1"/>
  <c r="I417" i="1"/>
  <c r="I416" i="1"/>
  <c r="I415" i="1"/>
  <c r="I414" i="1"/>
  <c r="I413" i="1"/>
  <c r="I412" i="1"/>
  <c r="I411" i="1"/>
  <c r="I410" i="1"/>
  <c r="I409" i="1"/>
  <c r="I408" i="1"/>
  <c r="I407" i="1"/>
  <c r="I406" i="1"/>
  <c r="I405" i="1"/>
  <c r="I404" i="1"/>
  <c r="I403" i="1"/>
  <c r="I401" i="1"/>
  <c r="I400" i="1"/>
  <c r="I399" i="1"/>
  <c r="I398" i="1"/>
  <c r="I397" i="1"/>
  <c r="I396" i="1"/>
  <c r="I395" i="1"/>
  <c r="I394" i="1"/>
  <c r="I393" i="1"/>
  <c r="I392" i="1"/>
  <c r="I391" i="1"/>
  <c r="I390" i="1"/>
  <c r="I389" i="1"/>
  <c r="I388" i="1"/>
  <c r="I387" i="1"/>
  <c r="I386" i="1"/>
  <c r="I385" i="1"/>
  <c r="I384" i="1"/>
  <c r="I383" i="1"/>
  <c r="I382" i="1"/>
  <c r="I381" i="1"/>
  <c r="I380" i="1"/>
  <c r="I379" i="1"/>
  <c r="I377" i="1"/>
  <c r="I376" i="1"/>
  <c r="I375" i="1"/>
  <c r="I374" i="1"/>
  <c r="I372" i="1"/>
  <c r="I371" i="1"/>
  <c r="I370" i="1"/>
  <c r="I369" i="1"/>
  <c r="I368" i="1"/>
  <c r="I367" i="1"/>
  <c r="I366" i="1"/>
  <c r="I365" i="1"/>
  <c r="I364" i="1"/>
  <c r="I363" i="1"/>
  <c r="I362" i="1"/>
  <c r="I361" i="1"/>
  <c r="I360" i="1"/>
  <c r="I359" i="1"/>
  <c r="I358" i="1"/>
  <c r="I357" i="1"/>
  <c r="I356" i="1"/>
  <c r="I355" i="1"/>
  <c r="I353" i="1"/>
  <c r="I352" i="1"/>
  <c r="I351" i="1"/>
  <c r="I350" i="1"/>
  <c r="I349" i="1"/>
  <c r="I348" i="1"/>
  <c r="I347" i="1"/>
  <c r="I346" i="1"/>
  <c r="I345" i="1"/>
  <c r="I344" i="1"/>
  <c r="I343" i="1"/>
  <c r="I342" i="1"/>
  <c r="I341" i="1"/>
  <c r="I340" i="1"/>
  <c r="I339" i="1"/>
  <c r="I338" i="1"/>
  <c r="I337" i="1"/>
  <c r="I336" i="1"/>
  <c r="I335" i="1"/>
  <c r="I334" i="1"/>
  <c r="I333" i="1"/>
  <c r="I332" i="1"/>
  <c r="I329" i="1"/>
  <c r="I328" i="1"/>
  <c r="I327" i="1"/>
  <c r="I326" i="1"/>
  <c r="I325" i="1"/>
  <c r="I324" i="1"/>
  <c r="I323" i="1"/>
  <c r="I322" i="1"/>
  <c r="I321" i="1"/>
  <c r="I320" i="1"/>
  <c r="I319" i="1"/>
  <c r="I318" i="1"/>
  <c r="I317" i="1"/>
  <c r="I316" i="1"/>
  <c r="I314" i="1"/>
  <c r="I313" i="1"/>
  <c r="I312" i="1"/>
  <c r="I311" i="1"/>
  <c r="I310" i="1"/>
  <c r="I309" i="1"/>
  <c r="I308" i="1"/>
  <c r="I307" i="1"/>
  <c r="I306" i="1"/>
  <c r="I305" i="1"/>
  <c r="I304" i="1"/>
  <c r="I303" i="1"/>
  <c r="I302" i="1"/>
  <c r="I301" i="1"/>
  <c r="I300" i="1"/>
  <c r="I299" i="1"/>
  <c r="I298" i="1"/>
  <c r="I297" i="1"/>
  <c r="I296" i="1"/>
  <c r="I295" i="1"/>
  <c r="I294" i="1"/>
  <c r="I293" i="1"/>
  <c r="I291" i="1"/>
  <c r="I290" i="1"/>
  <c r="I289" i="1"/>
  <c r="I287" i="1"/>
  <c r="I286" i="1"/>
  <c r="I285" i="1"/>
  <c r="I284" i="1"/>
  <c r="I283" i="1"/>
  <c r="I282" i="1"/>
  <c r="I281" i="1"/>
  <c r="I280" i="1"/>
  <c r="I279" i="1"/>
  <c r="I278" i="1"/>
  <c r="I277" i="1"/>
  <c r="I276" i="1"/>
  <c r="I274" i="1"/>
  <c r="I273" i="1"/>
  <c r="I272" i="1"/>
  <c r="I271" i="1"/>
  <c r="I270" i="1"/>
  <c r="I269" i="1"/>
  <c r="I268" i="1"/>
  <c r="I267" i="1"/>
  <c r="I266" i="1"/>
  <c r="I265" i="1"/>
  <c r="I264" i="1"/>
  <c r="I263" i="1"/>
  <c r="I262" i="1"/>
  <c r="I261" i="1"/>
  <c r="I260" i="1"/>
  <c r="I259" i="1"/>
  <c r="I258" i="1"/>
  <c r="I257" i="1"/>
  <c r="I254" i="1"/>
  <c r="I253" i="1"/>
  <c r="I251" i="1"/>
  <c r="I250" i="1"/>
  <c r="I249" i="1"/>
  <c r="I248" i="1"/>
  <c r="I247" i="1"/>
  <c r="I246" i="1"/>
  <c r="I245" i="1"/>
  <c r="I244" i="1"/>
  <c r="I243" i="1"/>
  <c r="I242" i="1"/>
  <c r="I241" i="1"/>
  <c r="I239" i="1"/>
  <c r="I238" i="1"/>
  <c r="I237" i="1"/>
  <c r="I236" i="1"/>
  <c r="I235" i="1"/>
  <c r="I234" i="1"/>
  <c r="I233" i="1"/>
  <c r="I231" i="1"/>
  <c r="I230" i="1"/>
  <c r="I229" i="1"/>
  <c r="I228" i="1"/>
  <c r="I227" i="1"/>
  <c r="I226" i="1"/>
  <c r="I224" i="1"/>
  <c r="I223" i="1"/>
  <c r="I222" i="1"/>
  <c r="I221" i="1"/>
  <c r="I220" i="1"/>
  <c r="I219" i="1"/>
  <c r="I218" i="1"/>
  <c r="I217" i="1"/>
  <c r="I216" i="1"/>
  <c r="I215" i="1"/>
  <c r="I214" i="1"/>
  <c r="I213" i="1"/>
  <c r="I212" i="1"/>
  <c r="I211" i="1"/>
  <c r="I209" i="1"/>
  <c r="I208" i="1"/>
  <c r="I207" i="1"/>
  <c r="I206" i="1"/>
  <c r="I205" i="1"/>
  <c r="I204" i="1"/>
  <c r="I203" i="1"/>
  <c r="I202" i="1"/>
  <c r="I201" i="1"/>
  <c r="I200" i="1"/>
  <c r="I199" i="1"/>
  <c r="I198" i="1"/>
  <c r="I197" i="1"/>
  <c r="I196" i="1"/>
  <c r="I195" i="1"/>
  <c r="I194" i="1"/>
  <c r="I193" i="1"/>
  <c r="I192" i="1"/>
  <c r="I191" i="1"/>
  <c r="I189" i="1"/>
  <c r="I188" i="1"/>
  <c r="I187" i="1"/>
  <c r="I185" i="1"/>
  <c r="I184" i="1"/>
  <c r="I181" i="1"/>
  <c r="I180" i="1"/>
  <c r="I179" i="1"/>
  <c r="I178" i="1"/>
  <c r="I177" i="1"/>
  <c r="I176" i="1"/>
  <c r="I174" i="1"/>
  <c r="I173" i="1"/>
  <c r="I172" i="1"/>
  <c r="I171" i="1"/>
  <c r="I170" i="1"/>
  <c r="I169" i="1"/>
  <c r="I168" i="1"/>
  <c r="I167" i="1"/>
  <c r="I166" i="1"/>
  <c r="I165" i="1"/>
  <c r="I164" i="1"/>
  <c r="I163" i="1"/>
  <c r="I162" i="1"/>
  <c r="I161" i="1"/>
  <c r="I160" i="1"/>
  <c r="I159" i="1"/>
  <c r="I158" i="1"/>
  <c r="I156" i="1"/>
  <c r="I155" i="1"/>
  <c r="I154" i="1"/>
  <c r="I153" i="1"/>
  <c r="I152" i="1"/>
  <c r="I151" i="1"/>
  <c r="I150" i="1"/>
  <c r="I149"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7" i="1"/>
  <c r="I115" i="1"/>
  <c r="I114" i="1"/>
  <c r="I113" i="1"/>
  <c r="I112" i="1"/>
  <c r="I110" i="1"/>
  <c r="I109" i="1"/>
  <c r="I108" i="1"/>
  <c r="I107" i="1"/>
  <c r="I106" i="1"/>
  <c r="I103" i="1"/>
  <c r="I101" i="1"/>
  <c r="I100" i="1"/>
  <c r="I99" i="1"/>
  <c r="I98" i="1"/>
  <c r="I97" i="1"/>
  <c r="I96" i="1"/>
  <c r="I95" i="1"/>
  <c r="I94" i="1"/>
  <c r="I93" i="1"/>
  <c r="I92" i="1"/>
  <c r="I91" i="1"/>
  <c r="I90" i="1"/>
  <c r="I89" i="1"/>
  <c r="I88" i="1"/>
  <c r="I87" i="1"/>
  <c r="I86" i="1"/>
  <c r="I85" i="1"/>
  <c r="I84" i="1"/>
  <c r="I82" i="1"/>
  <c r="I81" i="1"/>
  <c r="I80" i="1"/>
  <c r="I79" i="1"/>
  <c r="I78" i="1"/>
  <c r="I77" i="1"/>
  <c r="I76" i="1"/>
  <c r="I75" i="1"/>
  <c r="I74" i="1"/>
  <c r="I73" i="1"/>
  <c r="I72" i="1"/>
  <c r="I71" i="1"/>
  <c r="I70" i="1"/>
  <c r="I69" i="1"/>
  <c r="I67" i="1"/>
  <c r="I66" i="1"/>
  <c r="I65" i="1"/>
  <c r="I64" i="1"/>
  <c r="I63" i="1"/>
  <c r="I62" i="1"/>
  <c r="I61" i="1"/>
  <c r="I60" i="1"/>
  <c r="I59" i="1"/>
  <c r="I58" i="1"/>
  <c r="I57" i="1"/>
  <c r="I56" i="1"/>
  <c r="I55" i="1"/>
  <c r="I54" i="1"/>
  <c r="I53" i="1"/>
  <c r="I52" i="1"/>
  <c r="I51" i="1"/>
  <c r="I49" i="1"/>
  <c r="I48" i="1"/>
  <c r="I47" i="1"/>
  <c r="I46" i="1"/>
  <c r="I45" i="1"/>
  <c r="I44" i="1"/>
  <c r="I43" i="1"/>
  <c r="I42" i="1"/>
  <c r="I41" i="1"/>
  <c r="I40" i="1"/>
  <c r="I39" i="1"/>
  <c r="I38" i="1"/>
  <c r="I37" i="1"/>
  <c r="I36" i="1"/>
  <c r="I35" i="1"/>
  <c r="I33" i="1"/>
  <c r="I32" i="1"/>
  <c r="I31" i="1"/>
  <c r="I30" i="1"/>
  <c r="I29" i="1"/>
  <c r="I28" i="1"/>
  <c r="I26" i="1"/>
  <c r="I25" i="1"/>
  <c r="I24" i="1"/>
  <c r="I21" i="1"/>
  <c r="I20" i="1"/>
  <c r="I19" i="1"/>
  <c r="I18" i="1"/>
  <c r="I17" i="1"/>
  <c r="I15" i="1"/>
  <c r="I14" i="1"/>
  <c r="I13" i="1"/>
  <c r="I11" i="1"/>
  <c r="I10" i="1"/>
  <c r="I9" i="1"/>
  <c r="I8" i="1"/>
  <c r="I7" i="1"/>
  <c r="I6" i="1"/>
  <c r="I5" i="1"/>
  <c r="I4" i="1"/>
</calcChain>
</file>

<file path=xl/sharedStrings.xml><?xml version="1.0" encoding="utf-8"?>
<sst xmlns="http://schemas.openxmlformats.org/spreadsheetml/2006/main" count="12655" uniqueCount="4612">
  <si>
    <t>Name of the teacher</t>
  </si>
  <si>
    <t>Title of the book published</t>
  </si>
  <si>
    <t>Title of the chapters  published</t>
  </si>
  <si>
    <t>Year of publication</t>
  </si>
  <si>
    <t xml:space="preserve">ISBN number </t>
  </si>
  <si>
    <t>Whether at the time of publication Affiliating Institution  was same Yes/No</t>
  </si>
  <si>
    <t>Name of the publisher</t>
  </si>
  <si>
    <t>Links</t>
  </si>
  <si>
    <t>Bedre, SP; Jha, SK; Patil, C; Dhopeshwarkar, M; Gaikwad, A; Yannawar, P</t>
  </si>
  <si>
    <t>Lecture Notes on Data Engineering and Communications Technologies</t>
  </si>
  <si>
    <t>Keyword Recognition from EEG Signals on Smart Devices a Novel Approach</t>
  </si>
  <si>
    <t>978-981-16-1866-6; 978-981-16-1865-9</t>
  </si>
  <si>
    <t>Yes</t>
  </si>
  <si>
    <t>SPRINGER-VERLAG SINGAPORE PTE LTD</t>
  </si>
  <si>
    <t>Kankhar, MA; Mahender, CN</t>
  </si>
  <si>
    <t>Communications in Computer and Information Science</t>
  </si>
  <si>
    <t>Subjective Examination Evaluation Based on Spelling Correction and Detection Using Hamming Distance Algorithm</t>
  </si>
  <si>
    <t>978-3-031-12641-3; 978-3-031-12640-6</t>
  </si>
  <si>
    <t>SPRINGER INTERNATIONAL PUBLISHING AG</t>
  </si>
  <si>
    <t>Chavan, PP; Sapner, VS; Munde, AV; Mali, SM; Sathe, BR</t>
  </si>
  <si>
    <t>CHEMISTRYSELECT</t>
  </si>
  <si>
    <t>Synthesis of Metal-Free Nanoporous Carbon with Few-Layer Graphene Electrocatalyst for Electrochemical NO2- Oxidation</t>
  </si>
  <si>
    <t>2365-6549</t>
  </si>
  <si>
    <t>WILEY-V C H VERLAG GMBH</t>
  </si>
  <si>
    <t>Jadhav, C; Nipate, A; Chate, A; Gill, C</t>
  </si>
  <si>
    <t>ACS OMEGA</t>
  </si>
  <si>
    <t>Triethylammonium Hydrogen Sulfate [Et3NH][HSO4]-Catalyzed Rapid and Efficient Multicomponent Synthesis of Pyrido[2,3-d]pyrimidine and Pyrazolo[3,4-b]pyridine Hybrids</t>
  </si>
  <si>
    <t>2470-1343</t>
  </si>
  <si>
    <t>AMER CHEMICAL SOC</t>
  </si>
  <si>
    <t>Mulik, BB; Munde, AV; Dighole, RP; Sathe, BR</t>
  </si>
  <si>
    <t>JOURNAL OF INDUSTRIAL AND ENGINEERING CHEMISTRY</t>
  </si>
  <si>
    <t>Electrochemical determination of semicarbazide on cobalt oxide nanoparticles: Implication towards environmental monitoring</t>
  </si>
  <si>
    <t>1226-086X</t>
  </si>
  <si>
    <t>ELSEVIER SCIENCE INC</t>
  </si>
  <si>
    <t>Sutar, RS; Barkul, RP; Patil, MK</t>
  </si>
  <si>
    <t>CURRENT NANOSCIENCE</t>
  </si>
  <si>
    <t>Visible Light Assisted Photocatalytic Degradation of Methylene Blue Dye and Mixture of Dyes Using ZrO2-TiO2 Nanocomposites</t>
  </si>
  <si>
    <t>1573-4137</t>
  </si>
  <si>
    <t>BENTHAM SCIENCE PUBL LTD</t>
  </si>
  <si>
    <t>Pachpatte, DB</t>
  </si>
  <si>
    <t>AIMS MATHEMATICS</t>
  </si>
  <si>
    <t>On some ψ Caputo fractional Cebysev like inequalities for functions of two and three variables</t>
  </si>
  <si>
    <t>2473-6988</t>
  </si>
  <si>
    <t>AMER INST MATHEMATICAL SCIENCES-AIMS</t>
  </si>
  <si>
    <t>Gadekar, SP; Lande, MK</t>
  </si>
  <si>
    <t>RESEARCH ON CHEMICAL INTERMEDIATES</t>
  </si>
  <si>
    <t>Solid acid catalyst TS-1 zeolite-assisted solvent-free one-pot synthesis of poly-substituted 2,4,6-triaryl-pyridines</t>
  </si>
  <si>
    <t>2046-2069</t>
  </si>
  <si>
    <t>SPRINGER</t>
  </si>
  <si>
    <t>Udhan, S; Patil, B</t>
  </si>
  <si>
    <t>INTERNATIONAL JOURNAL OF NEXT-GENERATION COMPUTING</t>
  </si>
  <si>
    <t>A systematic review of Machine learning techniques for Heart disease prediction</t>
  </si>
  <si>
    <t>0976-5034</t>
  </si>
  <si>
    <t>PERPETUAL INNOVATION MEDIA PVT LTD</t>
  </si>
  <si>
    <t>https://ijngc.perpetualinnovation.net/index.php/ijngc/article/view/208</t>
  </si>
  <si>
    <t>Sapner, VS; Mulik, BB; Digraskar, R; Narwade, SS; Sathe, BR</t>
  </si>
  <si>
    <t>RSC ADVANCES</t>
  </si>
  <si>
    <t>Enhanced oxygen evolution reaction on amine functionalized graphene oxide in alkaline medium</t>
  </si>
  <si>
    <t>ROYAL SOC CHEMISTRY</t>
  </si>
  <si>
    <t>Shirsat, VS; Jagdale, RS; Deshmukh, SN</t>
  </si>
  <si>
    <t>JOURNAL OF HETEROCYCLIC CHEMISTRY</t>
  </si>
  <si>
    <t>Sentence Level Sentiment Identification and Calculation from News Articles Using Machine Learning Techniques</t>
  </si>
  <si>
    <t>2577-8838</t>
  </si>
  <si>
    <t>http://dx.doi.org/10.1007/978-981-13-1513-8_39</t>
  </si>
  <si>
    <t>Tipale, MR; Khillare, LD; Deshmukh, AR; Bhosle, MR</t>
  </si>
  <si>
    <t>2018 FIFTH INTERNATIONAL CONFERENCE ON PARALLEL, DISTRIBUTED AND GRID COMPUTING (IEEE PDGC)</t>
  </si>
  <si>
    <t>An Efficient Four Component Domino Synthesis of Pyrazolopyranopyrimidines using Recyclable Choline Chloride:Urea Deep Eutectic Solvent</t>
  </si>
  <si>
    <t>WILEY</t>
  </si>
  <si>
    <t>Janse, PV; Kayte, JN; Agrawal, RV; Deshmukh, RR</t>
  </si>
  <si>
    <t>ENERGY &amp; FUELS</t>
  </si>
  <si>
    <t>Standard Spectral Reflectance Measurements for ASD FieldSpec Spectroradiometer</t>
  </si>
  <si>
    <t>978-1-7281-0646-5</t>
  </si>
  <si>
    <t>IEEE</t>
  </si>
  <si>
    <t>https://ieeexplore.ieee.org/document/8745808</t>
  </si>
  <si>
    <t>Chavan, PP; Sapner, VS; Sathe, BR</t>
  </si>
  <si>
    <t>ASIAN-EUROPEAN JOURNAL OF MATHEMATICS</t>
  </si>
  <si>
    <t>Enhanced Hydrazine Oxidation on Histidine-FunctionalizedGraphene-Based Electrocatalysts</t>
  </si>
  <si>
    <t>Kadam, PV; Khandale, BK; Mahender, CN</t>
  </si>
  <si>
    <t>APPLIED MATHEMATICS AND COMPUTATION</t>
  </si>
  <si>
    <t>Design and Development of Marathi Word Stemmer</t>
  </si>
  <si>
    <t>Nimbhorkar, S; Deshmukh, V</t>
  </si>
  <si>
    <t>POLYCYCLIC AROMATIC COMPOUNDS</t>
  </si>
  <si>
    <t>The essential element graph of a lattice</t>
  </si>
  <si>
    <t>1016-2526</t>
  </si>
  <si>
    <t>WORLD SCIENTIFIC PUBL CO PTE LTD</t>
  </si>
  <si>
    <t>JOURNAL OF MATHEMATICAL EXTENSION</t>
  </si>
  <si>
    <t>Properties of certain iterated dynamic integrodiffetential equation on time scales</t>
  </si>
  <si>
    <t>2169-3277</t>
  </si>
  <si>
    <t>Jadhav, CK; Nipate, AS; Chate, AV; Gill, CH</t>
  </si>
  <si>
    <t>2018 CONFERENCE ON SIGNAL PROCESSING AND COMMUNICATION ENGINEERING SYSTEMS (SPACES)</t>
  </si>
  <si>
    <t>An Organocatalytic Newer Synthetic Approach toward the Access of Dihydropyrido[2,3-d] Pyrimidine in Water: A Perfect Synergy for Eco-compatible Organic Synthesis</t>
  </si>
  <si>
    <t>TAYLOR &amp; FRANCIS LTD</t>
  </si>
  <si>
    <t>Wahash, HA; Abdo, MS; Panchal, SK</t>
  </si>
  <si>
    <t>Journal of Mathematical Extension</t>
  </si>
  <si>
    <t>An Existence Result for Fractional Integro-Differential Equations in Banach Spaces</t>
  </si>
  <si>
    <t>1735-8299</t>
  </si>
  <si>
    <t>ISLAMIC AZAD UNIV, SHIRAZ BRANCH</t>
  </si>
  <si>
    <t>https://www.ijmex.com/index.php/ijmex/article/view/854/395</t>
  </si>
  <si>
    <t>Rana, KS</t>
  </si>
  <si>
    <t>2018 Conference on Signal Processing And Communication Engineering Systems (SPACES)</t>
  </si>
  <si>
    <t>Contemporary Work in Energy Harvesting &amp; Importance of Radiation Free Future 5-G WCN</t>
  </si>
  <si>
    <t>978-1-5386-2370-1</t>
  </si>
  <si>
    <t>https://doi.org/10.1109/SPACES.2018.8316305</t>
  </si>
  <si>
    <t>Karnik, KS; Sarkate, AP; Rajhans, AP; Wakte, PS</t>
  </si>
  <si>
    <t>LETTERS IN ORGANIC CHEMISTRY</t>
  </si>
  <si>
    <t>Assessment of Binding Site and Development of Small Molecule Inhibitors Targeting Epidermal Growth Factor Receptor Mutations in Non-Small Cell Lung Cancer (NSCLC)</t>
  </si>
  <si>
    <t>2314-8543</t>
  </si>
  <si>
    <t>PROCEEDINGS OF THE 3RD INTERNATIONAL CONFERENCE ON COMMUNICATION AND ELECTRONICS SYSTEMS (ICCES 2018)</t>
  </si>
  <si>
    <t>FRACTIONAL INTEGRODIFFERENTIAL EQUATIONS WITH NONLOCAL CONDITIONS AND GENERALIZED HILFER FRACTIONAL DERIVATIVE</t>
  </si>
  <si>
    <t>INST MATHEMATICS COMPUTER CENTER RUSSIA</t>
  </si>
  <si>
    <t>Gavhane, DS; Sarkate, AP; Karnik, KS; Jagtap, SD; Ansari, SH; Izankar, AV; Narula, IK; Jambhorkar, VS; Rajhans, AP</t>
  </si>
  <si>
    <t>INTERNATIONAL JOURNAL OF CONSERVATION SCIENCE</t>
  </si>
  <si>
    <t>Nano Copper Catalyzed Microwave Assisted Coupling of Benzene Boronic Acids with Thiophenols</t>
  </si>
  <si>
    <t>2214-1766</t>
  </si>
  <si>
    <t>Landge, MB; Mahender, CN</t>
  </si>
  <si>
    <t>2018 3rd International Conference on Communication and Electronics Systems (ICCES)</t>
  </si>
  <si>
    <t>Understanding the Impact of Social Media on Cognition and the Emotional Aspects using IA Test</t>
  </si>
  <si>
    <t>978-1-5386-4766-0</t>
  </si>
  <si>
    <t>https://doi.org/10.1109/CESYS.2018.8724019</t>
  </si>
  <si>
    <t>Rolla, KP; Shelke, A; Sathe, B; Khan, A; Sapner, V; Mulik, B</t>
  </si>
  <si>
    <t>SURFACE PATINA AND CLAY CHARACTERIZATION: MULTI-ANALYTICAL INVESTIGATIONS INTO BIDRI HANDICRAFT</t>
  </si>
  <si>
    <t>1660-4601</t>
  </si>
  <si>
    <t>Romanian Inventors Forum</t>
  </si>
  <si>
    <t>Narwade, SS; Mali, SM; Tapre, AK; Sathe, BR</t>
  </si>
  <si>
    <t>Enhanced electrocatalytic H2S splitting on a multiwalled carbon nanotubes-graphene oxide nanocomposite</t>
  </si>
  <si>
    <t>2730-7182</t>
  </si>
  <si>
    <t>Aher, DS; Khillare, KR; Shankarwar, SG</t>
  </si>
  <si>
    <t>ACTA APPLICANDAE MATHEMATICAE</t>
  </si>
  <si>
    <t>Incorporation of Keggin-based H3PW7Mo5O40 into bentonite: synthesis, characterization and catalytic applications</t>
  </si>
  <si>
    <t>2079-9292</t>
  </si>
  <si>
    <t>Aljaaidi, TA; Pachpatte, DB</t>
  </si>
  <si>
    <t>PROBIOTICS AND ANTIMICROBIAL PROTEINS</t>
  </si>
  <si>
    <t>Some Gruss-type inequalities using generalized Katugampola fractional integral</t>
  </si>
  <si>
    <t>INDIAN JOURNAL OF DAIRY SCIENCE</t>
  </si>
  <si>
    <t>Some Ostrowski Type Inequalities for Double Integrals on Time Scales</t>
  </si>
  <si>
    <t>2563-1926</t>
  </si>
  <si>
    <t>Wagh, SK; Gadge, PP; Padul, MV</t>
  </si>
  <si>
    <t>ACS APPLIED ENERGY MATERIALS</t>
  </si>
  <si>
    <t>Significant Hydrolysis of Wheat Gliadin by Bacillus tequilensis (10bT/HQ223107): a Pilot Study</t>
  </si>
  <si>
    <t>2076-3417</t>
  </si>
  <si>
    <t>Syed, KA; Babar, KP; Bornare, DT</t>
  </si>
  <si>
    <t>Indian Journal of Dairy Science</t>
  </si>
  <si>
    <t>Standardization and development of process for Sheerqurma and its shelf-life Study</t>
  </si>
  <si>
    <t>2454-2172</t>
  </si>
  <si>
    <t>INDIAN DAIRY ASSOC</t>
  </si>
  <si>
    <t>https://epubs.icar.org.in/index.php/IJDS/article/view/76576</t>
  </si>
  <si>
    <t>Munde, AV; Mulik, BB; Dighole, RP; Sathe, BR</t>
  </si>
  <si>
    <t>Urea Electro-Oxidation Catalyzed by an Efficient and Highly Stable Ni-Bi Bimetallic Nanoparticles</t>
  </si>
  <si>
    <t>2227-7390</t>
  </si>
  <si>
    <t>Bhusari, S; Ansari, I; Chaudhary, A</t>
  </si>
  <si>
    <t>AKCE INTERNATIONAL JOURNAL OF GRAPHS AND COMBINATORICS</t>
  </si>
  <si>
    <t>Development of Darunavir proliposome powder for oral delivery by using Box-Bhenken design</t>
  </si>
  <si>
    <t>Gadekar, SP; Pawar, GT; Magar, RR; Lande, MK</t>
  </si>
  <si>
    <t>JOURNAL OF THE KOREAN SOCIETY FOR INDUSTRIAL AND APPLIED MATHEMATICS</t>
  </si>
  <si>
    <t>Preparation, Characterizations of TS-1 Zeolite: An Effective Solid Acid Catalyst for the Synthesis of 1, 3, 5-Triaryl-2-Pyrazolins</t>
  </si>
  <si>
    <t>2075-1680</t>
  </si>
  <si>
    <t>Nimbhorkar, SK; Banswal, DB</t>
  </si>
  <si>
    <t>Generalizations of supplemented lattices</t>
  </si>
  <si>
    <t>Al-Saar, FM; Ghadle, KP</t>
  </si>
  <si>
    <t>COMBINED LAPLACE TRANSFORM WITH ANALYTICAL METHODS FOR SOLVING VOLTERRA INTEGRAL EQUATIONS WITH A CONVOLUTION KERNEL</t>
  </si>
  <si>
    <t>KOREAN SOC INDUSTRIAL &amp; APPLIED MATHEMATICS</t>
  </si>
  <si>
    <t>Pawar, GT; Magar, RR; Lande, MK</t>
  </si>
  <si>
    <t>Mesolite: An Efficient Heterogeneous Catalyst for One-Pot Synthesis of 2-Amino-4H-chromenes</t>
  </si>
  <si>
    <t>Gholap, DP; Huse, R; Dipake, S; Lande, MK</t>
  </si>
  <si>
    <t>2021 INTERNATIONAL CONFERENCE OF MODERN TRENDS IN INFORMATION AND COMMUNICATION TECHNOLOGY INDUSTRY (MTICTI 2021)</t>
  </si>
  <si>
    <t>Silica supported lanthanum trifluoroacetate and trichloroacetate as an efficient and reusable water compatible Lewis acid catalyst for synthesis of 2,4,5-triarylimidazoles via a solvent-free green approach</t>
  </si>
  <si>
    <t>2624-8212</t>
  </si>
  <si>
    <t>Jadhav, CK; Nipate, AS; Chate, AV; Kulkarni, MV; Gill, CH</t>
  </si>
  <si>
    <t>JOURNAL OF ENVIRONMENTAL BIOLOGY</t>
  </si>
  <si>
    <t>Microwave-Assisted Chemistry: New Synthetic Application for the Rapid Construction of 1H-Pyrazolo[1,2-b]Phthalazine-5,10-Dione Derivatives in Diisopropyl Ethyl Ammonium Acetate</t>
  </si>
  <si>
    <t>Al-Awadhi, MA; Deshmukh, RR</t>
  </si>
  <si>
    <t>INTERNATIONAL JOURNAL OF HYDROGEN ENERGY</t>
  </si>
  <si>
    <t>A Review on Modern Analytical Methods for Detecting and Quantifying Adulteration in Honey</t>
  </si>
  <si>
    <t>2075-4418</t>
  </si>
  <si>
    <t>Kharat, TL; Rokade, KB; Shejule, KB</t>
  </si>
  <si>
    <t>Effect of Roundup 41% (glyphosate) on blood serum biochemical parameters of freshwater fish, Rasbora daniconius</t>
  </si>
  <si>
    <t>TRIVENI ENTERPRISES</t>
  </si>
  <si>
    <t>Narwade, SS; Mali, SM; Digraskar, RV; Sapner, VS; Sathe, BR</t>
  </si>
  <si>
    <t>CURRENT RESEARCH IN NUTRITION AND FOOD SCIENCE</t>
  </si>
  <si>
    <t>Ni/NiO@rGO as an efficient bifunctional electrocatalyst for enhanced overall water splitting reactions</t>
  </si>
  <si>
    <t>1424-8220</t>
  </si>
  <si>
    <t>PERGAMON-ELSEVIER SCIENCE LTD</t>
  </si>
  <si>
    <t>Khan, F; Ghadle, KP</t>
  </si>
  <si>
    <t>JOURNAL OF THE IRANIAN CHEMICAL SOCIETY</t>
  </si>
  <si>
    <t>SYSTEMATIC APPROXIMATION OF THREE DIMENSIONAL FRACTIONAL PARTIAL DIFFERENTIAL EQUATIONS IN FLUID MECHANICS</t>
  </si>
  <si>
    <t>2352-4928</t>
  </si>
  <si>
    <t>Giri, NA; Sakhale, BK</t>
  </si>
  <si>
    <t>PROCEEDINGS OF THE 2ND INTERNATIONAL CONFERENCE ON COMPUTING METHODOLOGIES AND COMMUNICATION (ICCMC 2018)</t>
  </si>
  <si>
    <t>Development of Sweet Potato Flour Based High Protein and Low Calorie Gluten Free Cookies</t>
  </si>
  <si>
    <t>2504-3110</t>
  </si>
  <si>
    <t>ENVIRO RESEARCH PUBLISHERS</t>
  </si>
  <si>
    <t>Danne, AB; Akolkar, SV; Deshmukh, TR; Siddiqui, MM; Shingate, BB</t>
  </si>
  <si>
    <t>SYNTHETIC COMMUNICATIONS</t>
  </si>
  <si>
    <t>One-pot facile synthesis of novel 1,2,3-triazole-appended -aminophosphonates</t>
  </si>
  <si>
    <t>1420-3049</t>
  </si>
  <si>
    <t>Shaikh, A; Dhopeshwarkar, M</t>
  </si>
  <si>
    <t>JOURNAL OF CHEMICAL TECHNOLOGY AND BIOTECHNOLOGY</t>
  </si>
  <si>
    <t>Development of Early Prediction Model for Epileptic Seizures</t>
  </si>
  <si>
    <t>2227-9717</t>
  </si>
  <si>
    <t>Jadhav, VS; Bansod, N; Kale, KV</t>
  </si>
  <si>
    <t>2018 Second International Conference on Computing Methodologies and Communication (ICCMC)</t>
  </si>
  <si>
    <t>Analysis of Heart Rate Variability in Biometric Identification</t>
  </si>
  <si>
    <t>http://dx.doi.org/10.1109/ICCMC.2018.8487233</t>
  </si>
  <si>
    <t>Thombre, PB; Korde, SA; Dipake, SS; Rajbhoj, AS; Lande, MK; Gaikwad, ST</t>
  </si>
  <si>
    <t>A rapid synthesis of quinoxalines by using Al2O3-ZrO2 as heterogeneous catalyst</t>
  </si>
  <si>
    <t>TAYLOR &amp; FRANCIS INC</t>
  </si>
  <si>
    <t>Rathod, VN; Pawar, GT; Gaikwad, ST; Lande, MK</t>
  </si>
  <si>
    <t>RENDICONTI DEL CIRCOLO MATEMATICO DI PALERMO</t>
  </si>
  <si>
    <t>Preparation, characterization and catalytic application of Zn-based metal-organic framework catalyst for synthesis of 3,3-(arylmethylene)bis-1H-indole derivatives</t>
  </si>
  <si>
    <t>2306-5729</t>
  </si>
  <si>
    <t>Kale, A; Bandela, N; Kulkarni, J</t>
  </si>
  <si>
    <t>JOURNAL OF MATERIALS SCIENCE-MATERIALS IN ELECTRONICS</t>
  </si>
  <si>
    <t>Spatial distribution and risk assessment of naturally occurring uranium along with correlational study from Buldhana district of Maharashtra, India</t>
  </si>
  <si>
    <t>INTERNATIONAL JOURNAL OF INTELLIGENT ROBOTICS AND APPLICATIONS</t>
  </si>
  <si>
    <t>Detection of Adulteration in Coconut Milk using Infrared Spectroscopy and Machine Learning</t>
  </si>
  <si>
    <t>2574-0970</t>
  </si>
  <si>
    <t>The Minkowski's inequalities via Ω-Riemann-Liouville fractional integral operators</t>
  </si>
  <si>
    <t>SPRINGER-VERLAG ITALIA SRL</t>
  </si>
  <si>
    <t>Tonpe, DA; Gattu, KP; Kutwade, VV; Sonawane, ME; Dive, AS; Sharma, R</t>
  </si>
  <si>
    <t>JOURNAL OF PHYSICAL CHEMISTRY C</t>
  </si>
  <si>
    <t>Development of organic/inorganic PANI/ZnO 1D nanostructured hybrid thin film solar cell by soft chemical route</t>
  </si>
  <si>
    <t>2052-4463</t>
  </si>
  <si>
    <t>Gurav, YB; Patil, BM</t>
  </si>
  <si>
    <t>De-centralized information flow control for cloud virtual machines with hybrid AES-ECC and improved meta-heuristic optimization based optimal key generation</t>
  </si>
  <si>
    <t>2633-5409</t>
  </si>
  <si>
    <t>NEW JOURNAL OF CHEMISTRY</t>
  </si>
  <si>
    <t>Enhanced Electrochemical NO2-Oxidation Reactions on Biomolecule Functionalised Graphene Oxide</t>
  </si>
  <si>
    <t>Munde, AV; Mulik, BB; Chavan, PP; Sapner, VS; Narwade, SS; Mali, SM; Sathe, BR</t>
  </si>
  <si>
    <t>MATHEMATICAL FOUNDATIONS OF COMPUTING</t>
  </si>
  <si>
    <t>Electrocatalytic Ethanol Oxidation on Cobalt-Bismuth Nanoparticle-Decorated Reduced Graphene Oxide (Co-Bi@rGO): Reaction Pathway Investigation toward Direct Ethanol Fuel Cells</t>
  </si>
  <si>
    <t>1607-2510</t>
  </si>
  <si>
    <t>STUDIA UNIVERSITATIS BABES-BOLYAI MATHEMATICA</t>
  </si>
  <si>
    <t>Ruthenium silicate (RS-1) zeolite: novel heterogeneous efficient catalyst for synthesis of 2-arylbenzothiazole derivatives</t>
  </si>
  <si>
    <t>Patil, YB; Kawathekar, S</t>
  </si>
  <si>
    <t>TAMKANG JOURNAL OF MATHEMATICS</t>
  </si>
  <si>
    <t>Advance Assessment of Neural Network for Identification of Diabetic Nephropathy Using Renal Biopsies Images</t>
  </si>
  <si>
    <t>2053-1591</t>
  </si>
  <si>
    <t>Narwade, SS; Mali, SM; Sathe, BR</t>
  </si>
  <si>
    <t>Amine-functionalized multi-walled carbon nanotubes (EDA-MWCNTs) for electrochemical water splitting reactions</t>
  </si>
  <si>
    <t>Parveen, N; Kamble, PN</t>
  </si>
  <si>
    <t>ORBITAL-THE ELECTRONIC JOURNAL OF CHEMISTRY</t>
  </si>
  <si>
    <t>AN EXTENSION OF TOPSIS FOR GROUP DECISION MAKING IN INTUITIONISTIC FUZZY ENVIRONMENT</t>
  </si>
  <si>
    <t>Almalahi, MA; Panchal, SK; Abdo, MS</t>
  </si>
  <si>
    <t>BHAGAVAD-GITA FOR THE MODERN READER: HISTORY, INTERPRETATIONS AND PHILOSOPHY, 2ND EDITION</t>
  </si>
  <si>
    <t>Positive solution of Hilfer fractional differential equations with integral boundary conditions</t>
  </si>
  <si>
    <t>UNIV BABES-BOLYAI</t>
  </si>
  <si>
    <t>Hamoud, AA; Ghadle, KP</t>
  </si>
  <si>
    <t>ADVANCES IN OPERATOR THEORY</t>
  </si>
  <si>
    <t>USAGE OF THE HOMOTOPY ANALYSISMETHOD FOR SOLVING FRACTIONAL VOLTERRA-FREDHOLM INTEGRO-DIFFERENTIAL EQUATION OF THE SECOND KIND</t>
  </si>
  <si>
    <t>2075-163X</t>
  </si>
  <si>
    <t>TAMKANG UNIV</t>
  </si>
  <si>
    <t>Almalahi, MA; Abdo, MS; Panchal, SK</t>
  </si>
  <si>
    <t>Existence and Ulam-Hyers-Mittag-Leffler stability results of ψ-Hilfer nonlocal Cauchy problem</t>
  </si>
  <si>
    <t>2079-4991</t>
  </si>
  <si>
    <t>Bansode, ND; Gadekar, SP; Gaikwad, ST; Lande, MK</t>
  </si>
  <si>
    <t>Ceria-Molybdenum Mix Metal Oxide: A Mild and Efficient Recyclable Catalyst for One-Pot Synthesis of Polyhydroquinoline via Hantzsch Reaction</t>
  </si>
  <si>
    <t>UNIV FEDERAL MATO GROSSO SUL, DEPT QUIMICA</t>
  </si>
  <si>
    <t>Amur, GS</t>
  </si>
  <si>
    <t>JOURNAL OF FOOD MEASUREMENT AND CHARACTERIZATION</t>
  </si>
  <si>
    <t>THE BHAGAVAD-GITA FOR THE MODERN READER History, Interpretations and Philosophy Second Edition FOREWORD</t>
  </si>
  <si>
    <t>ROUTLEDGE</t>
  </si>
  <si>
    <t/>
  </si>
  <si>
    <t>Properties of some ψ-Hilfer fractional Fredholm-type integro-differential equations</t>
  </si>
  <si>
    <t>SPRINGER BASEL AG</t>
  </si>
  <si>
    <t>Karnik, KS; Narula, IS; Sarkate, AP; Wakte, PS</t>
  </si>
  <si>
    <t>JOURNAL OF KING SAUD UNIVERSITY SCIENCE</t>
  </si>
  <si>
    <t>Auto QSAR- A Fast Approach for Creation and Application of QSAR Models through Automation</t>
  </si>
  <si>
    <t>1996-1944</t>
  </si>
  <si>
    <t>Chate, AV; Kulkarni, AS; Jadhav, CK; Nipte, AS; Bondle, GM</t>
  </si>
  <si>
    <t>Multicomponent reactions and supramolecular catalyst: A perfect synergy for eco-compatible synthesis of pyrido[2,3-d]pyrimidines in water</t>
  </si>
  <si>
    <t>Optimization of whey protein concentrate and psyllium husk for the development of protein-fiber rich orange fleshed sweet potato (Ipomoea batatas L.) bread by using response surface methodology</t>
  </si>
  <si>
    <t>0925-4005</t>
  </si>
  <si>
    <t>Alsarori, N; Ghadle, K</t>
  </si>
  <si>
    <t>Some New Results for Functional Fractional Differential Inclusions with Impulses Effect</t>
  </si>
  <si>
    <t>Rehman, NNMA; Dixit, PP</t>
  </si>
  <si>
    <t>COGENT BUSINESS &amp; MANAGEMENT</t>
  </si>
  <si>
    <t>Influence of light wavelengths, light intensity, temperature, and pH on biosynthesis of extracellular and intracellular pigment and biomass of Pseudomonasaeruginosa NR1</t>
  </si>
  <si>
    <t>ELSEVIER</t>
  </si>
  <si>
    <t>BULLETIN OF CHEMICAL REACTION ENGINEERING AND CATALYSIS</t>
  </si>
  <si>
    <t>Water compatible silica supported iron trifluoroacetate and trichloroacetate: as prominent and recyclable Lewis acid catalysts for solvent-free green synthesis of hexahydroquinoline-3-carboxamides</t>
  </si>
  <si>
    <t>β-Cyclodextrin: An Efficient Supramolecular Catalyst for the Synthesis of Pyranoquinolines Derivatives under Ultrasonic Irradiation in Water</t>
  </si>
  <si>
    <t>2073-4344</t>
  </si>
  <si>
    <t>INTERNATIONAL JOURNAL OF TROPICAL INSECT SCIENCE</t>
  </si>
  <si>
    <t>A Review on Automatic Classification of Honey Botanical Origins using Machine Learning</t>
  </si>
  <si>
    <t>2731-9229</t>
  </si>
  <si>
    <t>Al-Hakimi, MA; Borade, DB</t>
  </si>
  <si>
    <t>JOURNAL OF RADIOANALYTICAL AND NUCLEAR CHEMISTRY</t>
  </si>
  <si>
    <t>The impact of entrepreneurial orientation on the supply chain resilience</t>
  </si>
  <si>
    <t>TAYLOR &amp; FRANCIS AS</t>
  </si>
  <si>
    <t>Magar, RR; Pawar, GT; Gadekar, SP; Lande, MK</t>
  </si>
  <si>
    <t>INTERNATIONAL JOURNAL OF PHARMACEUTICAL AND PHYTOPHARMACOLOGICAL RESEARCH</t>
  </si>
  <si>
    <t>An Efficient Synthesis of 1,8-Dioxo-Octahydroxanthenes Derivatives Using Heterogeneous Ce-ZSM-11 Zeolite Catalyst</t>
  </si>
  <si>
    <t>UNIV DIPONEGORO</t>
  </si>
  <si>
    <t>Abdo, MS; Panchal, SK</t>
  </si>
  <si>
    <t>EFFECT OF PERTURBATION IN THE SOLUTION OF FRACTIONAL NEUTRAL FUNCTIONAL DIFFERENTIAL EQUATIONS</t>
  </si>
  <si>
    <t>Nadaf, HL; Sirsat, AK; Hivrale, VK</t>
  </si>
  <si>
    <t>ACS APPLIED NANO MATERIALS</t>
  </si>
  <si>
    <t>Biochemical characterization of α-amylases from differently feeding pests: sap-sucking Aphis craccivora and tissue chewing Pectinophora gossypiella</t>
  </si>
  <si>
    <t>SPRINGER INT PUBL AG</t>
  </si>
  <si>
    <t>Assessment of chemo-radiological risk of naturally occurred uranium in groundwater from the Beed district, India</t>
  </si>
  <si>
    <t>2076-2607</t>
  </si>
  <si>
    <t>Bhusari, S; Borse, G; Rindhe, M; Wakte, P</t>
  </si>
  <si>
    <t xml:space="preserve">International Journal of Pharmaceutical and Phytopharmacological Research (eIJPPR) </t>
  </si>
  <si>
    <t>Validated RP-HPLC for Simultaneous Estimation of Etoposide and Picroside-II in Patented Pharmaceutical Formulation and the Bulk</t>
  </si>
  <si>
    <t>2249-6084</t>
  </si>
  <si>
    <t>INT JOURNAL PHARMACEUTICAL &amp; PHYTOPHARMACOLOGICAL RESEARCH</t>
  </si>
  <si>
    <t>https://eijppr.com/article/validated-rp-hplc-for-simultaneous-estimation-of-etoposide-and-picroside-ii-in-patented-pharmaceutical-formulation-and-the-bulk</t>
  </si>
  <si>
    <t>Jadhav, C; Khillare, LD; Bhosle, MR</t>
  </si>
  <si>
    <t>CURRENT MICROWAVE CHEMISTRY</t>
  </si>
  <si>
    <t>Efficient sonochemical protocol for the facile synthesis of dipyrimido-dihydropyridine and pyrimido[4,5-d]pyrimidines in aqueous -cyclodextrin</t>
  </si>
  <si>
    <t>1226-9433</t>
  </si>
  <si>
    <t>Narwade, SS; Mali, SM; Sapner, VS; Sathe, BR</t>
  </si>
  <si>
    <t>Graphene Oxide Decorated with Rh Nanospheres for Electrocatalytic Water Splitting</t>
  </si>
  <si>
    <t>0022-152X</t>
  </si>
  <si>
    <t>Rizqan, BH; Dhaigude, DB</t>
  </si>
  <si>
    <t>NONLINEAR BOUNDARY VALUE PROBLEM FOR FRACTIONAL DIFFERENTIAL EQUATIONS WITH ADVANCED ARGUMENTS UNDER INTEGRAL BOUNDARY CONDITIONS</t>
  </si>
  <si>
    <t>Vibhute, AD; Kale, KV; Mehrotra, SC; Dhumal, RK; Nagne, AD</t>
  </si>
  <si>
    <t>JOURNAL OF THE CHINESE CHEMICAL SOCIETY</t>
  </si>
  <si>
    <t>Determination of soil physicochemical attributes in farming sites through visible, near-infrared diffuse reflectance spectroscopy and PLSR modeling</t>
  </si>
  <si>
    <t>0022-1155</t>
  </si>
  <si>
    <t>Karnik, KS; Sarkate, AP; Jagtap, SD; Wakte, PS</t>
  </si>
  <si>
    <t>Copper Catalyzed Ligand Free Microwave Mediated Synthesis of α-ketoamides from Aromatic Ketones</t>
  </si>
  <si>
    <t>2630-6344</t>
  </si>
  <si>
    <t>Narwade, SS; Mali, SM; Tanwade, PD; Chavan, PP; Munde, AV; Sathe, BR</t>
  </si>
  <si>
    <t>Highly efficient metal-free ethylenediamine-functionalized fullerene (EDA@C60) electrocatalytic system for enhanced hydrogen generation from hydrazine hydrate</t>
  </si>
  <si>
    <t>1570-1786</t>
  </si>
  <si>
    <t>Sapner, VS; Sathe, BR</t>
  </si>
  <si>
    <t>Metal-free graphene-based nanoelectrodes for the electrochemical determination of ascorbic acid (AA) and p-nitrophenol (p-NP): implication towards biosensing and environmental monitoring</t>
  </si>
  <si>
    <t>2347-467X</t>
  </si>
  <si>
    <t>Rathod, VN; Bansode, ND; Thombre, PB; Lande, MK</t>
  </si>
  <si>
    <t>Efficient one-pot synthesis of polyhydroquinoline derivatives through the Hantzsch condensation using IRMOF-3 as heterogeneous and reusable catalyst</t>
  </si>
  <si>
    <t>0013-4686</t>
  </si>
  <si>
    <t>On the theory of fractional terminal value problem with ψ-Hilfer fractional derivative</t>
  </si>
  <si>
    <t>1997-1397</t>
  </si>
  <si>
    <t>Sapner, VS; Chavan, PP; Munde, AV; Sayyad, US; Sathe, BR</t>
  </si>
  <si>
    <t>Heteroatom (N, O, and S)-Based Biomolecule-Functionalized Graphene Oxide: A Bifunctional Electrocatalyst for Enhancing Hydrazine Oxidation and Oxygen Reduction Reactions</t>
  </si>
  <si>
    <t>2163-9159</t>
  </si>
  <si>
    <t>Cobalt oxide nanoparticle-decorated reduced graphene oxide (Co3O4-rGO): active and sustainable nanoelectrodes for water oxidation reaction</t>
  </si>
  <si>
    <t>1387-7003</t>
  </si>
  <si>
    <t>Yelwande, AA; Lande, MK</t>
  </si>
  <si>
    <t>JOURNAL OF FOOD SCIENCE AND TECHNOLOGY-MYSORE</t>
  </si>
  <si>
    <t>An efficient one-pot three-component synthesis of 7-amino-2, 4-dioxo-5-aryl-1,3,4,5-tetrahydro-2H-pyrano[2,3-d]pyrimidine-6-carbonitriles catalyzed by SnO2/SiO2 nanocomposite</t>
  </si>
  <si>
    <t>1738-7906</t>
  </si>
  <si>
    <t>Alsarori, NA; Ghadle, KP</t>
  </si>
  <si>
    <t>JOURNAL OF RESEARCH IN PHARMACY</t>
  </si>
  <si>
    <t>NONLOCAL FRACTIONAL DIFFERENTIAL INCLUSIONS WITH IMPULSE EFFECTS AND DELAY</t>
  </si>
  <si>
    <t>1793-5571</t>
  </si>
  <si>
    <t>Nipate, AS; Jadhav, CK; Chate, AV; Taur, KS; Gill, CH</t>
  </si>
  <si>
    <t>β-Cyclodextrin catalyzed access to fused 1,8-dihydroimidazo[2,3-b]indoles via one-pot multicomponent cascade in aqueous ethanol: Supramolecular approach toward sustainability</t>
  </si>
  <si>
    <t>0129-2021</t>
  </si>
  <si>
    <t>Bhosle, MR; Joshi, SA; Bondle, GM</t>
  </si>
  <si>
    <t>SPACES AND PLACES IN WESTERN INDIA: FORMATIONS AND DELINEATIONS</t>
  </si>
  <si>
    <t>An efficient contemporary multicomponent synthesis for the facile access to coumarin-fused new thiazolyl chromeno[4,3-b]quinolones in aqueous micellar medium</t>
  </si>
  <si>
    <t>1948-0881</t>
  </si>
  <si>
    <t>Sakhale, BK; Gaikwad, SS; Chavan, RF</t>
  </si>
  <si>
    <t>Application of 1-methylcyclopropene on mango fruit (Cv. Kesar): potential for shelf life enhancement and retention of quality</t>
  </si>
  <si>
    <t>SPRINGER INDIA</t>
  </si>
  <si>
    <t>Nikam, K; Bhusari, S; Wakte, P</t>
  </si>
  <si>
    <t>High Performance Liquid Chromatography Method Validation and Forced Degradation Studies of Chrysin</t>
  </si>
  <si>
    <t xml:space="preserve">1011-372X   </t>
  </si>
  <si>
    <t>MARMARA UNIV</t>
  </si>
  <si>
    <t>Tekale, KM; Katkar, SS; Wahul, DB</t>
  </si>
  <si>
    <t>ELECTROCHIMICA ACTA</t>
  </si>
  <si>
    <t>Ionic Liquid: A Review on Multicomponent Synthesis of Dihydropyrano [3,2-c] Chromenes</t>
  </si>
  <si>
    <t>2196-0216</t>
  </si>
  <si>
    <t>Sengar, B</t>
  </si>
  <si>
    <t>Spaces and Places in Western India</t>
  </si>
  <si>
    <t>Creating spaces for indigeneity from Nizam's Hyderabad state to Maharashtra</t>
  </si>
  <si>
    <t>ROUTLEDGE JOURNALS, TAYLOR &amp; FRANCIS LTD</t>
  </si>
  <si>
    <t>http://dx.doi.org/10.4324/9780429343698-4</t>
  </si>
  <si>
    <t>Dange, VU; Sakhale, BK; Giri, NA</t>
  </si>
  <si>
    <t>JOURNAL OF GLOBAL SCHOLARS OF MARKETING SCIENCE</t>
  </si>
  <si>
    <t>Enzyme Application for Reduction of Acrylamide Formation in Fried Potato Chips</t>
  </si>
  <si>
    <t>Pundge, AM; Mahender, CN</t>
  </si>
  <si>
    <t>Evaluating Reasoning in Factoid based Question Answering System by Using Machine Learning Approach</t>
  </si>
  <si>
    <t>http://dx.doi.org/10.1109/CESYS.2018.8724085</t>
  </si>
  <si>
    <t>Munde, AV; Mulik, BB; Chavan, PP; Sathe, BR</t>
  </si>
  <si>
    <t xml:space="preserve">Chemistry Europe </t>
  </si>
  <si>
    <t>Enhanced electrocatalytic activity towards urea oxidation on Ni nanoparticle decorated graphene oxide nanocomposite</t>
  </si>
  <si>
    <t>1225-6951</t>
  </si>
  <si>
    <t>http://dx.doi.org/10.1016/j.electacta.2020.136386</t>
  </si>
  <si>
    <t>Almalahi, MA; Panchal, SK</t>
  </si>
  <si>
    <t>On the Theory of ψ-Hilfer Nonlocal Cauchy Problem</t>
  </si>
  <si>
    <t>0971-5916</t>
  </si>
  <si>
    <t>SIBERIAN FEDERAL UNIV</t>
  </si>
  <si>
    <t>Satghare, HR; Sawant, M</t>
  </si>
  <si>
    <t>SOUTHEAST ASIAN BULLETIN OF MATHEMATICS</t>
  </si>
  <si>
    <t>Evaluation of official destination website of Maharashtra state (India) from the customer perspectives</t>
  </si>
  <si>
    <t>2190-5487</t>
  </si>
  <si>
    <t>Mulik, BB; Sapner, VS; Khan, A; Rolla, KP; Shelke, A; Sathe, BR</t>
  </si>
  <si>
    <t>JOURNAL OF THE INDIAN OCEAN REGION</t>
  </si>
  <si>
    <t>Impact of variable pH on the stability and aggregate kinetics of Bidri handicraft surface patina</t>
  </si>
  <si>
    <t>1530-9932</t>
  </si>
  <si>
    <t>De-Centralized Information Flow Control for Cloud Virtual Machines with Blowfish Encryption Algorithm</t>
  </si>
  <si>
    <t>0922-6168</t>
  </si>
  <si>
    <t>INT JOURNAL COMPUTER SCIENCE &amp; NETWORK SECURITY-IJCSNS</t>
  </si>
  <si>
    <t>Nimbhorkar, SK; Deshmukh, VS</t>
  </si>
  <si>
    <t>CATALYSIS LETTERS</t>
  </si>
  <si>
    <t>Incomparability graphs of dismantable lattices</t>
  </si>
  <si>
    <t>2164-6457</t>
  </si>
  <si>
    <t>Nimbhorkar, SK; Nehete, JY</t>
  </si>
  <si>
    <t>CHEMELECTROCHEM</t>
  </si>
  <si>
    <t>n-Absorbing δ-Primary Elements in a Multiplicative Lattice</t>
  </si>
  <si>
    <t>2296-2646</t>
  </si>
  <si>
    <t>SOUTHEAST ASIAN MATHEMATICAL SOC-SEAMS</t>
  </si>
  <si>
    <t>From the Sundarban delta to Deccan 'Aurangabad': climatic refugees' resilience for livelihood</t>
  </si>
  <si>
    <t>Chaudhary, A; Shrangare, G; Bhusari, S</t>
  </si>
  <si>
    <t>Bioanalytical method development and validation of folic acid from rat plasma using reverse phase high performance liquid chromatography</t>
  </si>
  <si>
    <t>2081-545X</t>
  </si>
  <si>
    <t>Dipake, SS; Gadekar, SP; Thombre, PB; Lande, MK; Rajbhoj, AS; Gaikwad, ST</t>
  </si>
  <si>
    <t>ZS-1 Zeolite as a Highly Efficient and Reusable Catalyst for Facile Synthesis of 1-amidoalkyl-2-naphthols Under Solvent-Free Conditions</t>
  </si>
  <si>
    <t>Sapner, VS; Chavan, PP; Digraskar, RV; Narwade, SS; Mulik, BB; Mali, SM; Sathe, BR</t>
  </si>
  <si>
    <t>ARABIAN JOURNAL OF CHEMISTRY</t>
  </si>
  <si>
    <t>Tyramine Functionalized Graphene: Metal-Free Electrochemical Non-Enzymatic Biosensing of Hydrogen Peroxide</t>
  </si>
  <si>
    <t>0975-8232</t>
  </si>
  <si>
    <t>Jagdale, RS; Shirsat, VS; Deshmukh, SN</t>
  </si>
  <si>
    <t>Review on Sentiment Lexicons</t>
  </si>
  <si>
    <t>https://doi.org/10.1109/CESYS.2018.8723913</t>
  </si>
  <si>
    <t>Dipake, SS; Ingale, VD; Korde, SA; Lande, MK; Rajbhoj, AS; Gaikwad, ST</t>
  </si>
  <si>
    <t>INDIAN JOURNAL OF MEDICAL RESEARCH</t>
  </si>
  <si>
    <t>An efficient green protocol for the synthesis of 1,2,4,5-tetrasubstituted imidazoles in the presence of ZSM-11 zeolite as a reusable catalyst</t>
  </si>
  <si>
    <t>0019-5464</t>
  </si>
  <si>
    <t>APPLIED WATER SCIENCE</t>
  </si>
  <si>
    <t>2-Absorbing δ-Primary Ideals in Lattices</t>
  </si>
  <si>
    <t>0974-6803</t>
  </si>
  <si>
    <t>Anandgaonker, P; Kulkarni, G; Gaikwad, S; Rajbhoj, A</t>
  </si>
  <si>
    <t>AAPS PHARMSCITECH</t>
  </si>
  <si>
    <t>Synthesis of TiO2 nanoparticles by electrochemical method and their antibacterial application</t>
  </si>
  <si>
    <t>0972-8600</t>
  </si>
  <si>
    <t>Dhaigude, D; Rizqan, B</t>
  </si>
  <si>
    <t>Existence and Uniqueness of Solutions of Fractional Differential Equations with Deviating Arguments under Integral Boundary Conditions</t>
  </si>
  <si>
    <t>KYUNGPOOK NATL UNIV, DEPT MATHEMATICS</t>
  </si>
  <si>
    <t>Lindley, M</t>
  </si>
  <si>
    <t>JOURNAL OF APPLIED NONLINEAR DYNAMICS</t>
  </si>
  <si>
    <t>AN AMERICAN VIEW OF THE MAHATMA'S EMPIRICISM</t>
  </si>
  <si>
    <t>WOLTERS KLUWER MEDKNOW PUBLICATIONS</t>
  </si>
  <si>
    <t>Dandge, KP; Patil, SS</t>
  </si>
  <si>
    <t>FRONTIERS IN CHEMISTRY</t>
  </si>
  <si>
    <t>Spatial distribution of ground water quality index using remote sensing and GIS techniques</t>
  </si>
  <si>
    <t>SPRINGER HEIDELBERG</t>
  </si>
  <si>
    <t>Gandhi, NV; Deokate, UA; Angadi, SS</t>
  </si>
  <si>
    <t>Development of Nanonized Nitrendipine and Its Transformation into Nanoparticulate Oral Fast Dissolving Drug Delivery System</t>
  </si>
  <si>
    <t>Dipake, SS; Lande, MK; Rajbhoj, AS; Gaikwad, ST</t>
  </si>
  <si>
    <t>ANNALES UNIVERSITATIS PAEDAGOGICAE CRACOVIENSIS-STUDIA MATHEMATICA</t>
  </si>
  <si>
    <t>Zeolite ZSM-11 as a reusable and efficient catalyst promoted improved protocol for synthesis of 2,4,5-triarylimidazole derivatives under solvent-free condition</t>
  </si>
  <si>
    <t>2168-0485</t>
  </si>
  <si>
    <t>ψ-Hilfer Fractional Functional Differential Equation by Picard Operator Method</t>
  </si>
  <si>
    <t>1021-9986</t>
  </si>
  <si>
    <t>L &amp; H SCIENTIFIC PUBLISHING, LLC</t>
  </si>
  <si>
    <t>Dighole, RP; Munde, AV; Mulik, BB; Sathe, BR</t>
  </si>
  <si>
    <t>INTERNATIONAL JOURNAL OF PHARMACEUTICAL SCIENCES AND RESEARCH</t>
  </si>
  <si>
    <t>Bi2O3 Nanoparticles Decorated Carbon Nanotube: An Effective Nanoelectrode for Enhanced Electrocatalytic 4-Nitrophenol Reduction</t>
  </si>
  <si>
    <t>0793-0283</t>
  </si>
  <si>
    <t>FRONTIERS MEDIA SA</t>
  </si>
  <si>
    <t>Dhawale, AD; Kulkarni, SB; Kumbhakarna, V</t>
  </si>
  <si>
    <t>2019 IEEE 5TH INTERNATIONAL CONFERENCE FOR CONVERGENCE IN TECHNOLOGY (I2CT)</t>
  </si>
  <si>
    <t>Survey of Progressive Era of Text Summarization for Indian and Foreign Languages Using Natural Language Processing</t>
  </si>
  <si>
    <t>2285-5785</t>
  </si>
  <si>
    <t>LETTERS IN DRUG DESIGN &amp; DISCOVERY</t>
  </si>
  <si>
    <t>δ-Ideals in pseudo-complemented distributive join-semilattices</t>
  </si>
  <si>
    <t>2191-1630</t>
  </si>
  <si>
    <t>INDIAN JOURNAL OF PHARMACEUTICAL EDUCATION AND RESEARCH</t>
  </si>
  <si>
    <t>Existence results of ψ-Hilfer integro-differential equations with fractional order in Banach space</t>
  </si>
  <si>
    <t>0167-7322</t>
  </si>
  <si>
    <t>SCIENDO</t>
  </si>
  <si>
    <t>ADVANCES AND APPLICATIONS IN MATHEMATICAL SCIENCES</t>
  </si>
  <si>
    <t>SOLVING FUZZY FRACTIONAL WAVE EQUATION BY THE VARIATIONAL ITERATION METHOD IN FLUID MECHANICS</t>
  </si>
  <si>
    <t>0369-8203</t>
  </si>
  <si>
    <t>Waykar, BB; Alqadhi, YA</t>
  </si>
  <si>
    <t>PROTECTIVE ROLE OF HONEY AND ROYAL JELLY ON CISPLATIN INDUCED OXIDATIVE STRESS IN LIVER OF RAT</t>
  </si>
  <si>
    <t>0976-5905</t>
  </si>
  <si>
    <t>INT JOURNAL PHARMACEUTICAL SCIENCES &amp; RESEARCH</t>
  </si>
  <si>
    <t>Khandale, K; Mahender, CN</t>
  </si>
  <si>
    <t>Rule-based design for Anaphora Resolution of Marathi Sentence</t>
  </si>
  <si>
    <t>2456-9119</t>
  </si>
  <si>
    <t>Nagne, AD; Vibhute, AD; Dhumal, RK; Kale, KV; Mehrotra, SC</t>
  </si>
  <si>
    <t>Urban LULC Change Detection and Mapping Spatial Variations of Aurangabad City Using IRS LISS-III Temporal Datasets and Supervised Classification Approach</t>
  </si>
  <si>
    <t>2548-8457</t>
  </si>
  <si>
    <t>Karnik, KS; Sarkate, AP; Jambhorkar, VS; Wakte, PS</t>
  </si>
  <si>
    <t>PUNJAB UNIVERSITY JOURNAL OF MATHEMATICS</t>
  </si>
  <si>
    <t>Discovery, Design, and Development of Effective and Stable Binding Compounds for Mutant EGFR Inhibition</t>
  </si>
  <si>
    <t>1083-7450</t>
  </si>
  <si>
    <t>Kendre, N; Wakte, P</t>
  </si>
  <si>
    <t>Comparative Extraction and Quantification of Scutellarein from Leaves of Triumfetta rhomboidea Using RP-HPLC</t>
  </si>
  <si>
    <t>1872-5120</t>
  </si>
  <si>
    <t>ASSOC PHARMACEUTICAL TEACHERS INDIA</t>
  </si>
  <si>
    <t>Dadhe, MA; Hambire, UV</t>
  </si>
  <si>
    <t>ACS SUSTAINABLE CHEMISTRY &amp; ENGINEERING</t>
  </si>
  <si>
    <t>A REVIEW ON SURFACE MODIFICATION OF TI-6AL-4V(TC4), GRADE-5 TI ALLOY USED IN ORTHOPEDIC IMPLANTS</t>
  </si>
  <si>
    <t>0161-1712</t>
  </si>
  <si>
    <t>MILI PUBL</t>
  </si>
  <si>
    <t>Wasadikar, MP; Gaikwad, KT</t>
  </si>
  <si>
    <t>IRANIAN JOURNAL OF CHEMISTRY &amp; CHEMICAL ENGINEERING-INTERNATIONAL ENGLISH EDITION</t>
  </si>
  <si>
    <t>Some properties of 2-absorbing primary ideals in lattices</t>
  </si>
  <si>
    <t>0976-9234</t>
  </si>
  <si>
    <t>HETEROCYCLIC COMMUNICATIONS</t>
  </si>
  <si>
    <t>TS-1 zeolite as a Lewis acid catalyst for solvent-free one-pot synthesis of 1,3-thiazolidin-4-ones</t>
  </si>
  <si>
    <t>1687-2770</t>
  </si>
  <si>
    <t>Amlekar, MM; Gaikwad, AT</t>
  </si>
  <si>
    <t>2018 INTERNATIONAL CONFERENCE ON RECENT INNOVATIONS IN ELECTRICAL, ELECTRONICS &amp; COMMUNICATION ENGINEERING (ICRIEECE 2018)</t>
  </si>
  <si>
    <t>Plant Classification Using Image Processing and Neural Network</t>
  </si>
  <si>
    <t>Gadekar, SP; Dipake, SS; Gaikwad, ST; Lande, MK</t>
  </si>
  <si>
    <t>SCIENTIFIC PAPERS-SERIES A-AGRONOMY</t>
  </si>
  <si>
    <t>Solid acid TS-1 catalyst: an efficient catalyst in Knoevenagel condensation for the synthesis of 5-arylidene-2,4-thiazolidinediones/Rhodanines in aqueous medium</t>
  </si>
  <si>
    <t>0039-7911</t>
  </si>
  <si>
    <t>Dhaigude, DB; Bhadgaonkar, VN</t>
  </si>
  <si>
    <t>BIONANOSCIENCE</t>
  </si>
  <si>
    <t>Analytical Solution of Nonlinear Nonhomogeneous Space and Time Fractional Physical Models by Improved Adomian Decomposition Method</t>
  </si>
  <si>
    <t>UNIV PUNJAB, DEPT MATHEMATICS</t>
  </si>
  <si>
    <t>Munde, AV; Mulik, BB; Dighole, RP; Dhawale, SC; Sable, LS; Avhale, AT; Sathe, BR</t>
  </si>
  <si>
    <t>JOURNAL OF MOLECULAR LIQUIDS</t>
  </si>
  <si>
    <t>Bi2O3@Bi nanoparticles for ultrasensitive electrochemical determination of thiourea: monitoring towards environmental pollutants</t>
  </si>
  <si>
    <t>1687-5265</t>
  </si>
  <si>
    <t>Sapner, VS; Chavan, PP; Sathe, BR</t>
  </si>
  <si>
    <t>PROCEEDINGS OF THE NATIONAL ACADEMY OF SCIENCES INDIA SECTION A-PHYSICAL SCIENCES</t>
  </si>
  <si>
    <t>L-Lysine-Functionalized Reduced Graphene Oxide as a Highly Efficient Electrocatalyst for Enhanced Oxygen Evolution Reaction</t>
  </si>
  <si>
    <t>2040-4468</t>
  </si>
  <si>
    <t>Magar, RR; Pawar, GT; Gadekar, SP; Machhindra, KL</t>
  </si>
  <si>
    <t>COMMUNICATIONS IN MATHEMATICS AND APPLICATIONS</t>
  </si>
  <si>
    <t>Ce-ZSM-11 Zeolite: An Efficient Heterogeneous Catalyst for One Pot Synthesis of 4H-Pyran Derivatives</t>
  </si>
  <si>
    <t>JIHAD DANESHGAHI</t>
  </si>
  <si>
    <t>Pachpatte, D</t>
  </si>
  <si>
    <t>JOURNAL OF PHARMACEUTICAL RESEARCH INTERNATIONAL</t>
  </si>
  <si>
    <t>On Some Dynamic Inequalities in Two Variables on Time Scales</t>
  </si>
  <si>
    <t>2523-3963</t>
  </si>
  <si>
    <t>AMER INST PHYSICS</t>
  </si>
  <si>
    <t>Chavan, AS; Kharat, AS; Bhosle, MR; Mane, RA</t>
  </si>
  <si>
    <t>IJOLE-INTERNATIONAL JOURNAL OF LANGUAGE EDUCATION</t>
  </si>
  <si>
    <t>Baker's yeast catalyzed one-pot synthesis of bioactive 2-[benzylidene(or pyrazol-4-ylmethylene) hydrazono]-1,3-thiazolidin-4-one-5-yl-acetic acids</t>
  </si>
  <si>
    <t>1573-4129</t>
  </si>
  <si>
    <t>WALTER DE GRUYTER GMBH</t>
  </si>
  <si>
    <t>Jangam, AR; Kale, KV; Gaikwad, S; Vibhute, AD</t>
  </si>
  <si>
    <t>2018 International Conference on Recent Innovations in Electrical, Electronics &amp; Communication Engineering (ICRIEECE)</t>
  </si>
  <si>
    <t>Design and Development of IoT based System for Retrieval of Agrometeorological Parameters</t>
  </si>
  <si>
    <t>978-1-5386-5996-0</t>
  </si>
  <si>
    <t>http://dx.doi.org/10.1109/ICRIEECE44171.2018.9008636</t>
  </si>
  <si>
    <t>Shaikh, S</t>
  </si>
  <si>
    <t>PROCEEDINGS OF THE 2ND INTERNATIONAL CONFERENCE ON INVENTIVE SYSTEMS AND CONTROL (ICISC 2018)</t>
  </si>
  <si>
    <t>EFFECT OF LOW TEMPERATURE ON DIAPAUSE EGGS OF Dysdercus cingulatus (Hemiptera: Pyrrhocoridae)</t>
  </si>
  <si>
    <t>2008-6822</t>
  </si>
  <si>
    <t>UNIV AGRICULTURAL SCIENCES &amp; VETERINARY MEDICINE BUCHAREST</t>
  </si>
  <si>
    <t>https://www.researchgate.net/publication/329519434_EFFECT_OF_LOW_TEMPERATURE_ON_DIAPAUSE_EGGS_OFDysdercus_cingulatus</t>
  </si>
  <si>
    <t>Bhore, RM; Tigote, RM; Kazi, SK; Chavan, SR; Khobragade, RM; Tiwari, GB</t>
  </si>
  <si>
    <t>JOURNAL OF PHARMACEUTICAL INNOVATION</t>
  </si>
  <si>
    <t>Investigation of Structural and Microbial Properties of Samarium-Doped Nickel-Strontium Ferrite Nanoparticles Prepared via the Sol-Gel Route</t>
  </si>
  <si>
    <t>2146-1147</t>
  </si>
  <si>
    <t>INTERNATIONAL JOURNAL OF MATHEMATICS AND MATHEMATICAL SCIENCES</t>
  </si>
  <si>
    <t>Sunlight assisted photocatalytic degradation of different organic pollutants and simultaneous degradation of cationic and anionic dyes using titanium and zinc based nanocomposites</t>
  </si>
  <si>
    <t>2363-6203</t>
  </si>
  <si>
    <t>Borde, P; Kulkarni, S; Gawali, B; Yannawar, P</t>
  </si>
  <si>
    <t>JOURNAL OF PHARMACEUTICAL NEGATIVE RESULTS</t>
  </si>
  <si>
    <t>Recognition of Isolated Digit Using Random Forest for Audio-Visual Speech Recognition</t>
  </si>
  <si>
    <t>1532-0626</t>
  </si>
  <si>
    <t>NATL ACAD SCIENCES INDIA</t>
  </si>
  <si>
    <t>Thorat, S; Mahender, CN</t>
  </si>
  <si>
    <t>BOUNDARY VALUE PROBLEMS</t>
  </si>
  <si>
    <t>Domain-Specific Fuzzy Rule-Based Opinion Mining</t>
  </si>
  <si>
    <t>Pachpatte, DU</t>
  </si>
  <si>
    <t>Properties of Some Dynamic Partial Integrodifferential Equations on Time Scales</t>
  </si>
  <si>
    <t>1040-6638</t>
  </si>
  <si>
    <t>RGN PUBL</t>
  </si>
  <si>
    <t>Patave, TR; Siddiqui, AUR</t>
  </si>
  <si>
    <t>Use of Aerial Roots of Ficus benghalensis for Green Synthesis of Silver Nanoparticles with Enhanced Antibacterial Activity</t>
  </si>
  <si>
    <t>1570-1794</t>
  </si>
  <si>
    <t>SCIENCEDOMAIN INT</t>
  </si>
  <si>
    <t>Ahmed, STS; Qasem, BTA; Pawar, SV</t>
  </si>
  <si>
    <t>COMPUTER-ASSISTED LANGUAGE INSTRUCTION IN SOUTH YEMENI CONTEXT: A STUDY OF TEACHERS' ATTITUDES, ICT USES AND CHALLENGES</t>
  </si>
  <si>
    <t>2078-8665</t>
  </si>
  <si>
    <t>UNIV NEGERI MAKASSAR, FAC LANGUAGES &amp; LITERATURE</t>
  </si>
  <si>
    <t>Naidu, VR; Deshpande, RS; Syed, MR; Wakte, PS</t>
  </si>
  <si>
    <t>PRODUCTION AND MANUFACTURING RESEARCH-AN OPEN ACCESS JOURNAL</t>
  </si>
  <si>
    <t>Real-time imaging as an emerging process analytical technology tool for monitoring of fluid bed coating process</t>
  </si>
  <si>
    <t>Pawar, AJ; Jadhav, HL; Ukarande, VV; Chavan, SR</t>
  </si>
  <si>
    <t>2018 2nd International Conference on Inventive Systems and Control (ICISC)</t>
  </si>
  <si>
    <t>A Comparative study of effective way to modify different object in Image and Video</t>
  </si>
  <si>
    <t>978-1-5386-0807-4</t>
  </si>
  <si>
    <t>http://dx.doi.org/10.1109/ICISC.2018.8398974</t>
  </si>
  <si>
    <t>Mane, PT; Wakure, BS; Wakte, PS</t>
  </si>
  <si>
    <t>INTERNATIONAL JOURNAL OF KNOWLEDGE-BASED DEVELOPMENT</t>
  </si>
  <si>
    <t>Oral Bioavailability Enhancement of Docetaxel by Preparation of Freeze-Dried Ternary Solid Dispersion Using Hydrophilic Polymer and Surfactant</t>
  </si>
  <si>
    <t>2021 6TH INTERNATIONAL CONFERENCE FOR CONVERGENCE IN TECHNOLOGY (I2CT)</t>
  </si>
  <si>
    <t>The Hermite-Hadamard-Mercer Type Inequalities via Generalized Proportional Fractional Integral Concerning Another Function</t>
  </si>
  <si>
    <t>0009-4536</t>
  </si>
  <si>
    <t>HINDAWI LTD</t>
  </si>
  <si>
    <t>Bhogil, A; Thosar, A; Borde, S</t>
  </si>
  <si>
    <t>MORPHOLOGICAL AND MOLECULAR PHYLOGENY OF ANOPLOCEPHALIDEAN CESTODE PARASITE FROM CAPRA HIRCUS(L) IN SOLAPUR DISTRICT (M.S.) INDIA</t>
  </si>
  <si>
    <t>2252-0236</t>
  </si>
  <si>
    <t>RESEARCHTRENTZ ACAD PUBL EDUCATION SERVICES</t>
  </si>
  <si>
    <t>SN APPLIED SCIENCES</t>
  </si>
  <si>
    <t>Some properties of implicit impulsive coupled system via φ-Hilfer fractional operator</t>
  </si>
  <si>
    <t>1895-9091</t>
  </si>
  <si>
    <t>Dabwan, BA; Jadhav, ME</t>
  </si>
  <si>
    <t>CURRENT PHARMACEUTICAL ANALYSIS</t>
  </si>
  <si>
    <t>A Deep Learning based Recognition System for Yemeni Sign Language</t>
  </si>
  <si>
    <t>1877-0509</t>
  </si>
  <si>
    <t>Nimbhorkar, SK; Borsarkar, UR</t>
  </si>
  <si>
    <t>Some properties of the weak product of graphs on lattices</t>
  </si>
  <si>
    <t>0944-1344</t>
  </si>
  <si>
    <t>Chate, AV; Shaikh, BA; Bondle, GM; Sangle, SM</t>
  </si>
  <si>
    <t>INTERNATIONAL JOURNAL OF NONLINEAR ANALYSIS AND APPLICATIONS</t>
  </si>
  <si>
    <t>Efficient atom-economic one-pot multicomponent synthesis of benzylpyrazolyl coumarins and novel pyrano[2,3-c]pyrazoles catalysed by 2-aminoethanesulfonic acid (taurine) as a bio-organic catalyst</t>
  </si>
  <si>
    <t>1582-9596</t>
  </si>
  <si>
    <t>Al-Hakimi, MA; Borade, DB; Saleh, MH; Nasr, MAA</t>
  </si>
  <si>
    <t>TWMS JOURNAL OF APPLIED AND ENGINEERING MATHEMATICS</t>
  </si>
  <si>
    <t>The moderating role of supplier relationship on the effect of postponement on supply chain resilience under different levels of environmental uncertainty</t>
  </si>
  <si>
    <t>1070-4280</t>
  </si>
  <si>
    <t>Hagar, AA; Gawali, BW</t>
  </si>
  <si>
    <t>MODELING EARTH SYSTEMS AND ENVIRONMENT</t>
  </si>
  <si>
    <t>Apache Spark and Deep Learning Models for High-Performance Network Intrusion Detection Using CSE-CIC-IDS2018</t>
  </si>
  <si>
    <t>Ismail, H; Abed, S</t>
  </si>
  <si>
    <t>CONCURRENCY AND COMPUTATION-PRACTICE &amp; EXPERIENCE</t>
  </si>
  <si>
    <t>Assessment of groundwater quality in the urban development industrial area of Jalna district</t>
  </si>
  <si>
    <t>INDERSCIENCE ENTERPRISES LTD</t>
  </si>
  <si>
    <t>Senan, EM; Jadhav, ME; Kadam, A</t>
  </si>
  <si>
    <t>Classification of PH2 Images for Early Detection of Skin Diseases</t>
  </si>
  <si>
    <t>0970-020X</t>
  </si>
  <si>
    <t>Mulik, BB; Dhumal, ST; Sapner, VS; Rehman, NNMA; Dixit, PP; Sathe, BR</t>
  </si>
  <si>
    <t>Graphene oxide-based electrochemical activation of ethionamide towards enhanced biological activity</t>
  </si>
  <si>
    <t>1984-6428</t>
  </si>
  <si>
    <t>Wagh, K; Kanade, SS</t>
  </si>
  <si>
    <t>CURRENT ORGANIC SYNTHESIS</t>
  </si>
  <si>
    <t>Robust human tracking using harmonious polling tracker</t>
  </si>
  <si>
    <t>Wakte, P; Agrawal, G; Shelke, S</t>
  </si>
  <si>
    <t>BAGHDAD SCIENCE JOURNAL</t>
  </si>
  <si>
    <t>A New Short Validated U-HPLC Method for the Determination of Recombinant Human Insulin in Microspheres</t>
  </si>
  <si>
    <t>2195-268X</t>
  </si>
  <si>
    <t>Raut, VV; Bhandari, SV; Patil, SM; Sarkate, AP</t>
  </si>
  <si>
    <t>A Rational Approach to Anticancer Drug Design: 2D and 3D-QSAR, Molecular Docking and Prediction of ADME Properties using Silico Studies of Thymidine Phosphorylase Inhibitors</t>
  </si>
  <si>
    <t>2306-3424</t>
  </si>
  <si>
    <t>Rizqan, BH; Dhaigude, D</t>
  </si>
  <si>
    <t>Nonlinear fractional differential equations with advanced arguments</t>
  </si>
  <si>
    <t>2470-1394</t>
  </si>
  <si>
    <t>SEMNAN UNIV</t>
  </si>
  <si>
    <t>Wahul, RM; Lomte, SS</t>
  </si>
  <si>
    <t>Smart City Project Management System Using Cloud</t>
  </si>
  <si>
    <t>0193-2691</t>
  </si>
  <si>
    <t>Nimbhorkar, SK; Khubchandani, JA</t>
  </si>
  <si>
    <t>FUZZY SEMI-ESSENTIAL SUBMODULES AND FUZZY SEMI-CLOSED SUBMODULES</t>
  </si>
  <si>
    <t>2331-1975</t>
  </si>
  <si>
    <t>TURKIC WORLD MATHEMATICAL SOC</t>
  </si>
  <si>
    <t>Shameer, TT; Nittu, G; Mohan, G; Backer, SJ; Khedkar, GD; Sanil, R</t>
  </si>
  <si>
    <t>IRANIAN JOURNAL OF CATALYSIS</t>
  </si>
  <si>
    <t>Consequences of climate change in allopatric speciation and endemism: modeling the biogeography of Dravidogecko</t>
  </si>
  <si>
    <t>Shelke, MB; Sawant, DD; Kadam, CB; Ambhure, K; Deshmukh, SN</t>
  </si>
  <si>
    <t>BIO-ALGORITHMS AND MED-SYSTEMS</t>
  </si>
  <si>
    <t>Marathi SentiWordNet: A lexical resource for sentiment analysis of Marathi</t>
  </si>
  <si>
    <t>Shelke, SV; Dhumal, ST; Karale, AY; Deshmukh, TR; Patil, MK</t>
  </si>
  <si>
    <t>ENVIRONMENTAL SCIENCE AND POLLUTION RESEARCH</t>
  </si>
  <si>
    <t>A facile synthesis of quinoxalines by using SO42-/ZrO2-TiO2 as an efficient and recyclable heterogeneous catalyst</t>
  </si>
  <si>
    <t>0016-7622</t>
  </si>
  <si>
    <t>Khandebharad, AU; Sarda, SR; Gill, CH; Agrawal, BR</t>
  </si>
  <si>
    <t>ENVIRONMENTAL ENGINEERING AND MANAGEMENT JOURNAL</t>
  </si>
  <si>
    <t>Synthesis of Quinazolinone Derivatives Catalyzed by Triethanolamine/NaCl in Aqueous Media</t>
  </si>
  <si>
    <t>0334-1860</t>
  </si>
  <si>
    <t>Bhandari, SV; Kuthe, P; Patil, SM; Nagras, O; Sarkate, AP</t>
  </si>
  <si>
    <t>RUSSIAN JOURNAL OF ORGANIC CHEMISTRY</t>
  </si>
  <si>
    <t>A Review: Exploring Synthetic Schemes and Structure-activity Relationship (SAR) Studies of Mono-carbonyl Curcumin Analogues for Cytotoxicity Inhibitory Anticancer Activity</t>
  </si>
  <si>
    <t>Thange, TG; Gangane, SS</t>
  </si>
  <si>
    <t>Generalised Henstock- Kurzweil Integral with Multiple Point</t>
  </si>
  <si>
    <t>2349-7750</t>
  </si>
  <si>
    <t>COLL SCIENCE WOMEN, UNIV BAGHDAD</t>
  </si>
  <si>
    <t>Nimbhorkar, S; Khubchandani, J</t>
  </si>
  <si>
    <t>FUZZY ESSENTIAL SUBMODULES WITH RESPECT TO AN ARBITRARY FUZZY SUBMODULE</t>
  </si>
  <si>
    <t>WASADIKAR, M; KHUBCHANDANI, P</t>
  </si>
  <si>
    <t>PROCEEDINGS OF THE 5TH INTERNATIONAL CONFERENCE ON INVENTIVE COMPUTATION TECHNOLOGIES (ICICT-2020)</t>
  </si>
  <si>
    <t>DEL' RELATION AND PARALLELISM IN FUZZY LATTICES</t>
  </si>
  <si>
    <t>2585-7290</t>
  </si>
  <si>
    <t>Kulkarni, PS; Karale, SN; Khandebharad, AU; Agrawal, BR; Sarda, SR</t>
  </si>
  <si>
    <t>ORIENTAL JOURNAL OF CHEMISTRY</t>
  </si>
  <si>
    <t>Design, Synthesis, and Biological Evaluation of Newer Arylidene Incorporated 4-Thiazolidinones Derivatives as Potential Antimicrobial Agents</t>
  </si>
  <si>
    <t>1307-6175</t>
  </si>
  <si>
    <t>Bhosale, MG; Sutar, RS; Deshmukh, SB; Patil, MK</t>
  </si>
  <si>
    <t>Photocatalytic efficiency of sol-gel synthesized Mn-doped TiO2 nanoparticles for degradation of brilliant green dye and mixture of dyes</t>
  </si>
  <si>
    <t>Khairnar, BJ; Mane, DV; Shingare, MS; Chaudhari, BR</t>
  </si>
  <si>
    <t>Iranian Journal of Catalysis</t>
  </si>
  <si>
    <t>Nano-Fe3O4 as a heterogeneous recyclable magnetically separable catalyst for synthesis of nitrogen fused imidazoheterocycles via double C-N bond formation</t>
  </si>
  <si>
    <t>2345-4865</t>
  </si>
  <si>
    <t>ISLAMIC AZAD UNIV, SHAHREZA BRANCH</t>
  </si>
  <si>
    <t>https://www.researchgate.net/publication/327801615_Nano-Fe3O4_as_a_heterogeneous_recyclable_magnetically_separable_catalyst_for_synthesis_of_nitrogen_fused_imidazoheterocycles_via_double_C-N_bond_formation?enrichId=rgreq-3cfe31cd4facbb08ec859aa65f5a8593-XXX&amp;enrichSource=Y292ZXJQYWdlOzMyNzgwMTYxNTtBUzoxMTcxNDkwMDcwMzY0MTY2QDE2NTYzMTY0MDYzNzE%3D&amp;el=1_x_2&amp;_esc=publicationCoverPdf</t>
  </si>
  <si>
    <t>Narhari, BB; Murlidhar, BK; Sayyad, AD; Sable, GS</t>
  </si>
  <si>
    <t>INTERNATIONAL JOURNAL OF DYNAMICS AND CONTROL</t>
  </si>
  <si>
    <t>Automated diagnosis of diabetic retinopathy enabled by optimized thresholding-based blood vessel segmentation and hybrid classifier</t>
  </si>
  <si>
    <t>Kamble, VV; Kokate, RD</t>
  </si>
  <si>
    <t>PROBLEMY ANALIZA-ISSUES OF ANALYSIS</t>
  </si>
  <si>
    <t>Automated diabetic retinopathy detection using radial basis function</t>
  </si>
  <si>
    <t>0378-5173</t>
  </si>
  <si>
    <t>ELSEVIER SCIENCE BV</t>
  </si>
  <si>
    <t>Kallawar, GA; Bhanvase, BA</t>
  </si>
  <si>
    <t>MITOCHONDRIAL DNA PART A</t>
  </si>
  <si>
    <t>A review on existing and emerging approaches for textile wastewater treatments: challenges and future perspectives</t>
  </si>
  <si>
    <t>Wadate, P; Dharmadhikari, H</t>
  </si>
  <si>
    <t>Environmental Engineering and Management Journal</t>
  </si>
  <si>
    <t>EXPERIMENTAL INVESTIGATION FOR EVALUATING THE PERFORMANCE OF PARABOLOIDAL REFLECTOR DISH CONCENTRATOR</t>
  </si>
  <si>
    <t>GH ASACHI TECHNICAL UNIV IASI</t>
  </si>
  <si>
    <t>https://www.eemj.eu/index.php/EEMJ/article/view/4754</t>
  </si>
  <si>
    <t>Navgire, ME; Bhitre, SR; Yelwande, AA; Lande, MK</t>
  </si>
  <si>
    <t>One-Pot Synthesis of 1,8-Dioxodecahydroacridines Catalyzed by Carbon-Doped MoO3</t>
  </si>
  <si>
    <t>1844-6094</t>
  </si>
  <si>
    <t>MAIK NAUKA/INTERPERIODICA/SPRINGER</t>
  </si>
  <si>
    <t>Salunke, M; Wakure, B; Wakte, P</t>
  </si>
  <si>
    <t>Phytochemical analysis of Acanthophora najadiformis using High-Resolution Liquid Chromatography Mass Spectrometry (HR-LCMS) and FTIR</t>
  </si>
  <si>
    <t>Al-madani, AM; Gaikwad, AT; Mahale, V; Ahmed, ZAT; Shareef, AAA</t>
  </si>
  <si>
    <t>HELIYON</t>
  </si>
  <si>
    <t>Real-time Driver Drowsiness Detection based on Eye Movement and Yawning using Facial Landmark</t>
  </si>
  <si>
    <t>2214-7853</t>
  </si>
  <si>
    <t>Mutkule, N; Bugad, N; Mokale, S; Choudhari, V; Ubale, M</t>
  </si>
  <si>
    <t>JOURNAL OF THE GEOLOGICAL SOCIETY OF INDIA</t>
  </si>
  <si>
    <t>Novel approach in the synthesis of imidazo [1, 2-a] pyridine from phenyl acrylic acids</t>
  </si>
  <si>
    <t>1735-207X</t>
  </si>
  <si>
    <t>Al-madani, AM; Gaikwad, AT</t>
  </si>
  <si>
    <t>JOURNAL OF INTELLIGENT SYSTEMS</t>
  </si>
  <si>
    <t>IoT Data Security Via Blockchain Technology and Service-Centric Networking</t>
  </si>
  <si>
    <t>1389-5753</t>
  </si>
  <si>
    <t>Sawant, MR; Gaikwad, ST; Dare, SB; Rajbhoj, AS</t>
  </si>
  <si>
    <t>Catalytic Application of Electrochemically Prepared Nickel Oxide Nanoparticles to Synthesize 2, 5-Disubstituted-1 4-Oxadiazoles</t>
  </si>
  <si>
    <t>ORIENTAL SCIENTIFIC PUBL CO</t>
  </si>
  <si>
    <t>Chavan, LD; Deshmukh, SN; Shankarwar, SG</t>
  </si>
  <si>
    <t>INDO AMERICAN JOURNAL OF PHARMACEUTICAL SCIENCES</t>
  </si>
  <si>
    <t>A Simple and Green Protocol for the Synthesis of 3,4-dihydropyrimidin-2(1H)-ones Using 11-Molybdo-1-vanado phosphoric Acid as a Catalyst Under Ultrasound Irradiation</t>
  </si>
  <si>
    <t>0974-6455</t>
  </si>
  <si>
    <t>Mulik, BB; Dhumal, ST; Harale, RR; Kharat, KR; Sathe, BR</t>
  </si>
  <si>
    <t>Electrochemical Studies of Anti-HIV Drug Emtricitabine: Oxidative Determination and Improved Antimicrobial Activity</t>
  </si>
  <si>
    <t>2168-1163</t>
  </si>
  <si>
    <t>Borkar, A; Patil, PM</t>
  </si>
  <si>
    <t>CHEMICAL PAPERS</t>
  </si>
  <si>
    <t>Super twisting observer based full order sliding mode control</t>
  </si>
  <si>
    <t>SPRINGERNATURE</t>
  </si>
  <si>
    <t>ORGANIC COMMUNICATIONS</t>
  </si>
  <si>
    <t>PERIODIC BOUNDARY VALUE PROBLEMS FOR FRACTIONAL IMPLICIT DIFFERENTIAL EQUATIONS INVOLVING HILFER FRACTIONAL DERIVATIVE</t>
  </si>
  <si>
    <t>PETROZAVODSK STATE UNIV</t>
  </si>
  <si>
    <t>Abhyankar, S; Khobragade, K; Khanwelkar, G; Tiknaik, A; Khedkar, G</t>
  </si>
  <si>
    <t>PHARMACEUTICAL DEVELOPMENT AND TECHNOLOGY</t>
  </si>
  <si>
    <t>Evidence for a species complex in Indialona ganapati (Chydoridae)</t>
  </si>
  <si>
    <t>Mane, P; Wakure, B; Wakte, P</t>
  </si>
  <si>
    <t>JOURNAL OF METALS MATERIALS AND MINERALS</t>
  </si>
  <si>
    <t>Nanocrystalline solid dispersions: an emerging approach for oral bioavailability enhancement of anticancer drugs using lapatinib ditosylate as the case drug</t>
  </si>
  <si>
    <t>Goaill, MM; Al-Hakimi, MA</t>
  </si>
  <si>
    <t>Does absorptive capacity moderate the relationship between entrepreneurial orientation and supply chain resilience?</t>
  </si>
  <si>
    <t>0975-8585</t>
  </si>
  <si>
    <t>Response to the critique of Sameer Padhye and Neelesh Dahanukar (2019)</t>
  </si>
  <si>
    <t>2090-0147</t>
  </si>
  <si>
    <t>Pawar, R; Ghumbre, S; Deshmukh, R</t>
  </si>
  <si>
    <t>INTERNATIONAL JOURNAL OF PHARMACEUTICS</t>
  </si>
  <si>
    <t>Developing an Improvised E-Menu Recommendation System for Customer</t>
  </si>
  <si>
    <t>1380-7501</t>
  </si>
  <si>
    <t>Al-Hakimi, MA; Saleh, MH; Borade, DB</t>
  </si>
  <si>
    <t>Entrepreneurial orientation and supply chain resilience of manufacturing SMEs in Yemen: the mediating effects of absorptive capacity and innovation</t>
  </si>
  <si>
    <t>ELSEVIER SCI LTD</t>
  </si>
  <si>
    <t>Gore, R; Mishra, A; Deshmukh, R</t>
  </si>
  <si>
    <t>HERITAGE</t>
  </si>
  <si>
    <t>Exploring the Mineralogy at Lonar Crater with Hyperspectral Remote Sensing</t>
  </si>
  <si>
    <t>Ali, SSE; Dildar, SA</t>
  </si>
  <si>
    <t>ACTA UNIVERSITATIS SAPIENTIAE-MATHEMATICA</t>
  </si>
  <si>
    <t>An Efficient Quality Inspection of Food Products Using Neural Network Classification</t>
  </si>
  <si>
    <t>0354-5180</t>
  </si>
  <si>
    <t>Muluk, MB; Dhumal, ST; Phatak, PS; Rehman, NNMA; Dixit, PP; Choudhari, PB; Mane, RA; Haval, KP</t>
  </si>
  <si>
    <t>Synthesis, antimicrobial activity, and molecular docking study of formylnaphthalenyloxymethyl-triazolyl-N-phenylacetamides</t>
  </si>
  <si>
    <t>0022-2860</t>
  </si>
  <si>
    <t>Jadhavar, PB; Papdiwal, PB</t>
  </si>
  <si>
    <t>SCENEDESMACEAE MEMBERS AT NATHSAGAR PAITHAN - MAHARASHTRA</t>
  </si>
  <si>
    <t>SSJ COLL PHARMACY-SSJCP</t>
  </si>
  <si>
    <t>https://www.google.com/url?sa=t&amp;source=web&amp;rct=j&amp;opi=89978449&amp;url=http://iajps.com/pdf/january2018supply/23.IAJPS23012018S.pdf&amp;ved=2ahUKEwi1-IfpjNuGAxXic_UHHUunAiIQFnoECA8QAQ&amp;usg=AOvVaw0la0fhAp9l55g6e8C4eROY</t>
  </si>
  <si>
    <t>Shareef, AAA; Yannawar, PL; Abdul-Qawy, ASH; Ahmed, ZAT</t>
  </si>
  <si>
    <t>YOLOv4-Based Monitoring Model for COVID-19 Social Distancing Control</t>
  </si>
  <si>
    <t>1567-2018</t>
  </si>
  <si>
    <t>Deshmukh, SN; Chavan, LD; Shingare, MS</t>
  </si>
  <si>
    <t>ELECTRONIC COMMERCE RESEARCH</t>
  </si>
  <si>
    <t>Envirocat EPZG Mediated Synthesis of 3,4-Dihydropyrano[c]chromene Derivatives Under Microwave Irradiation in Solvent-free Conditions</t>
  </si>
  <si>
    <t>Al-horaibi, SA; Garoon, EM; Bhise, NA; Gaikwad, ST; Rajbhoj, AS</t>
  </si>
  <si>
    <t>The effect of bis-carboxylic groups of squarylium dyes on the efficiency of dye-sensitized solar cells</t>
  </si>
  <si>
    <t>0366-6352</t>
  </si>
  <si>
    <t>Diwan, F; Shaikh, MH; Shaikh, M; Farooqui, M</t>
  </si>
  <si>
    <t>γ-Valerolactone: Promising bio-compatible media for the synthesis of 2-arylbenzothiazole derivatives</t>
  </si>
  <si>
    <t>ACG PUBLICATIONS</t>
  </si>
  <si>
    <t>Jumbad, V; Chel, A</t>
  </si>
  <si>
    <t>BIOSCIENCE BIOTECHNOLOGY RESEARCH COMMUNICATIONS</t>
  </si>
  <si>
    <t>Strategic Use of Control Plan as a Process Audit Tool in Automotive Industry: A Case Study</t>
  </si>
  <si>
    <t>COMPUTER METHODS IN BIOMECHANICS AND BIOMEDICAL ENGINEERING-IMAGING AND VISUALIZATION</t>
  </si>
  <si>
    <t>Incorporation of exemestane into ternary nanosponge system for enhanced anti-tumor potential in breast cancer</t>
  </si>
  <si>
    <t>0326-2383</t>
  </si>
  <si>
    <t>Shep, U; Pawar, R; Arbad, B</t>
  </si>
  <si>
    <t>INTERNATIONAL JOURNAL OF COMPUTER SCIENCE AND NETWORK SECURITY</t>
  </si>
  <si>
    <t>Efficiency of 2-dodecylaminopyridine for the liquid-liquid extraction of gold(III) from succinic acid medium</t>
  </si>
  <si>
    <t>CHULALONGKORN UNIV, METALLURGY &amp; MATERIALS SCIENCE RESEARCH INST</t>
  </si>
  <si>
    <t>Ahmed, ZAT; Jadhav, ME</t>
  </si>
  <si>
    <t>A Review of Early Detection of Autism Based on Eye-Tracking and Sensing Technology</t>
  </si>
  <si>
    <t>0252-2667</t>
  </si>
  <si>
    <t>Al-Shari, HA; Lokhande, MA</t>
  </si>
  <si>
    <t>The relationship between the risks of adopting FinTech in banks and their impact on the performance</t>
  </si>
  <si>
    <t>1478-6419</t>
  </si>
  <si>
    <t>Enhancement in the therapeutic potential of lapatinib ditosylate against breast cancer by the use of β-cyclodextrin based ternary nanosponge system</t>
  </si>
  <si>
    <t>0739-1102</t>
  </si>
  <si>
    <t>Mali, SM; Narwade, SS; Mulik, BB; Digraskar, RV; Harale, RR; Sathe, BR</t>
  </si>
  <si>
    <t>2019 IEEE PUNE SECTION INTERNATIONAL CONFERENCE (PUNECON)</t>
  </si>
  <si>
    <t>Enhanced Electrochemical Ethanol Sensitivity on Ni/NiO-rGO Hybrids Nanostructures at Room Temperature</t>
  </si>
  <si>
    <t>Singh, MR; Yadav, R</t>
  </si>
  <si>
    <t>RESEARCH JOURNAL OF PHARMACEUTICAL BIOLOGICAL AND CHEMICAL SCIENCES</t>
  </si>
  <si>
    <t>Formation of Calcium Oxalate Patinas as Protective Layer on Basaltic Stone Surfaces of 17th Century Raigad Hill Fort, India</t>
  </si>
  <si>
    <t>1757-4323</t>
  </si>
  <si>
    <t>MDPI</t>
  </si>
  <si>
    <t>Nale, AB; Panchal, SK; Chinchane, VL</t>
  </si>
  <si>
    <t>JOURNAL OF ELECTRICAL AND COMPUTER ENGINEERING</t>
  </si>
  <si>
    <t>Gruss-type fractional inequality via Caputo-Fabrizio integral operator</t>
  </si>
  <si>
    <t>1574-9541</t>
  </si>
  <si>
    <t>Kasare, SL; Gund, PN; Sathe, BP; Patil, PS; Rehman, NNMA; Dixit, PP; Choudhari, PB; Haval, KP</t>
  </si>
  <si>
    <t>MULTIMEDIA TOOLS AND APPLICATIONS</t>
  </si>
  <si>
    <t>Synthesis, antimicrobial screening, and docking study of new 2-(2-ethylpyridin-4-yl)-4-methyl-N-phenylthiazole-5-carboxamide derivatives</t>
  </si>
  <si>
    <t>Kulkarni, RB; Hussaini, SS; Shirsat, MD</t>
  </si>
  <si>
    <t>Materials Today Proceedings</t>
  </si>
  <si>
    <t>Exploring the impressive nonlinear optical and dielectric properties of cadmium thiourea acetate crystal doped with oxalic acid</t>
  </si>
  <si>
    <t>http://dx.doi.org/10.1016/j.matpr.2020.02.062</t>
  </si>
  <si>
    <t>Bhosle, MR; Andil, P; Wahul, D; Bondle, GM; Sarkate, A; Tiwari, SV</t>
  </si>
  <si>
    <t>Straightforward multicomponent synthesis of pyrano[2,3-d]pyrimidine-2,4,7-triones in -cyclodextrin cavity and evaluation of their anticancer activity</t>
  </si>
  <si>
    <t>2217-8961</t>
  </si>
  <si>
    <t>Rege, MV; Gawali, BW; Gaikwad, S</t>
  </si>
  <si>
    <t>FILOMAT</t>
  </si>
  <si>
    <t>Performance Evaluation of Image Segmentation Process for Recognition of Leukemia</t>
  </si>
  <si>
    <t>JOURNAL OF MOLECULAR STRUCTURE</t>
  </si>
  <si>
    <t>Automatic Identification and Classification of Microaneurysms, Exudates and Blood Vessel for Early Diabetic Retinopathy Recognition</t>
  </si>
  <si>
    <t>Alshari, HA; Lokhande, MA</t>
  </si>
  <si>
    <t>FERROELECTRICS</t>
  </si>
  <si>
    <t>Analysis of constraints and their impact on adopting digital FinTech techniques in banks</t>
  </si>
  <si>
    <t>1450-9628</t>
  </si>
  <si>
    <t>CURRENT DRUG DELIVERY</t>
  </si>
  <si>
    <t>Non-linear state feedback control for uncertain systems using a finite time disturbance observer</t>
  </si>
  <si>
    <t>0026-9247</t>
  </si>
  <si>
    <t>Pokharkar, SR; Wagh, SJ; Deshmukh, SN</t>
  </si>
  <si>
    <t>BENI-SUEF UNIVERSITY JOURNAL OF BASIC AND APPLIED SCIENCES</t>
  </si>
  <si>
    <t>Machine Learning Based Predictive Mechanism for Internet Bandwidth</t>
  </si>
  <si>
    <t>Mahajan, SS; Zambare, SP</t>
  </si>
  <si>
    <t>L-ascorbate Effect on Arsenic Induced Histopathological Changes in the Hepatopancreas of the Freshwater Bivalve, Lamellidens marginalis (Lamarck)</t>
  </si>
  <si>
    <t>0030-4948</t>
  </si>
  <si>
    <t>SOC SCIENCE &amp; NATURE</t>
  </si>
  <si>
    <t>Ali, MMH; Gaikwad, AT; Yannawar, PL</t>
  </si>
  <si>
    <t>Palmprint Identification and Verification System Based on Euclidean Distance and 2D Locality Preserving Projection Method</t>
  </si>
  <si>
    <t>Bansode, BN; Bakwad, KM; Dildar, AS; Sable, GS</t>
  </si>
  <si>
    <t>Deen CNN-based feature extraction with optimised LSTM for enhanced diabetic retinopathy detection</t>
  </si>
  <si>
    <t>0019-5596</t>
  </si>
  <si>
    <t>Sukte, C; Emmanuel, M; Deshmukh, RR</t>
  </si>
  <si>
    <t>LATIN AMERICAN JOURNAL OF PHARMACY</t>
  </si>
  <si>
    <t>Modified Elliptic Curve Cryptography Model for Personal Health Record Sharing in Cloud with Trust Valuation</t>
  </si>
  <si>
    <t>0045-7906</t>
  </si>
  <si>
    <t>Aher, DS; Khillare, KR; Chavan, LD; Shankarwar, SG</t>
  </si>
  <si>
    <t>2018 4TH INTERNATIONAL CONFERENCE FOR CONVERGENCE IN TECHNOLOGY (I2CT)</t>
  </si>
  <si>
    <t>Tungsten-substituted molybdophosphoric acid impregnated with kaolin: effective catalysts for the synthesis of 3,4-dihydropyrimidin-2(1H)-ones via biginelli reaction</t>
  </si>
  <si>
    <t>Shinde, N; Dhake, AS; Haval, KP; Bhosale, SK</t>
  </si>
  <si>
    <t>Total Synthesis of Clausenain, a Cyclic Octapeptide and its Analog for Anticancer Activity</t>
  </si>
  <si>
    <t>2314-8896</t>
  </si>
  <si>
    <t>Muluk, MB; Dhumal, ST; Rehman, NNMA; Dixit, PP; Kharat, KR; Haval, KP</t>
  </si>
  <si>
    <t>JOURNAL OF INFORMATION &amp; OPTIMIZATION SCIENCES</t>
  </si>
  <si>
    <t>Synthesis, Anticancer and Antimicrobial Evaluation of New (E)-N′-Benzylidene-2-(2-ethylpyridin-4-yl)-4-methylthiazole-5-carbohydrazides</t>
  </si>
  <si>
    <t>Ganakwar, DG; Kadam, VK</t>
  </si>
  <si>
    <t>NATURAL PRODUCT RESEARCH</t>
  </si>
  <si>
    <t>Comparative Analysis of Various Face Detection Methods</t>
  </si>
  <si>
    <t>Agrawal, G; Shelke, S; Wakte, P</t>
  </si>
  <si>
    <t>JOURNAL OF BIOMOLECULAR STRUCTURE &amp; DYNAMICS</t>
  </si>
  <si>
    <t>Insulin Oral Delivery: A Review on Challenges and Potential Approaches</t>
  </si>
  <si>
    <t>RJPBCS RESEARCH JOURNAL PHARMACEUTICAL, BIOLOGICAL &amp; CHEMICAL SCIENCES</t>
  </si>
  <si>
    <t>Alshari, EA; Gawali, BW</t>
  </si>
  <si>
    <t>Analysis of Machine Learning Techniques for Sentinel-2A Satellite Images</t>
  </si>
  <si>
    <t>1868-2529</t>
  </si>
  <si>
    <t>Ansingkar, NP; Patil, RB; Deshmukh, PD</t>
  </si>
  <si>
    <t>ASIA-PACIFIC JOURNAL OF BUSINESS ADMINISTRATION</t>
  </si>
  <si>
    <t>An efficient multi class Alzheimer detection using hybrid equilibrium optimizer with capsule auto encoder</t>
  </si>
  <si>
    <t>ECOLOGICAL INFORMATICS</t>
  </si>
  <si>
    <t>Formulation, Optimization and Evaluation of Nanoparticulate Oral Fast Dissolving Film Dosage Form of Nitrendipine</t>
  </si>
  <si>
    <t>1687-725X</t>
  </si>
  <si>
    <t>WEIGHTED FRACTIONAL INEQUALITIES USING MARICHEV-SAIGO-MAEDA FRACTIONAL INTEGRAL OPERATOR</t>
  </si>
  <si>
    <t>METALLURGICAL &amp; MATERIALS ENGINEERING</t>
  </si>
  <si>
    <t>Minkowski-Type Inequalities Using Generalized Proportional Hadamard Fractional Integral Operators</t>
  </si>
  <si>
    <t>1070-3632</t>
  </si>
  <si>
    <t>UNIV NIS, FAC SCI MATH</t>
  </si>
  <si>
    <t>HR-LCMS assisted phytochemical screening and an assessment of anticancer activity of Sargassum Squarrossum and Dictyota Dichotoma using in vitro and molecular docking approaches</t>
  </si>
  <si>
    <t>2352-801X</t>
  </si>
  <si>
    <t>Aneesa-Fatema, S; Rasal, YB; Shaikh, RN; Shirsat, MD; Hussaini, SS; Kulkarni, RB</t>
  </si>
  <si>
    <t>Integrity in linear and nonlinear optical properties of L-tyrosine doped bis thiourea cadmium acetate single crystal</t>
  </si>
  <si>
    <t>KRAGUJEVAC JOURNAL OF MATHEMATICS</t>
  </si>
  <si>
    <t>Cyclodextrin Based Nanosponges: A Multidimensional Drug Delivery System and its Biomedical Applications</t>
  </si>
  <si>
    <t>MONATSHEFTE FUR CHEMIE</t>
  </si>
  <si>
    <t>Design and Development of Leukemia Identification System Through Neural Network and SVM Approach for Microscopic Smear Image Database</t>
  </si>
  <si>
    <t>2210-8033</t>
  </si>
  <si>
    <t>Binary and ternary inclusion complexation of lapatinib ditosylate with β-cyclodextrin: preparation, evaluation and in vitro anticancer activity</t>
  </si>
  <si>
    <t>Dond, BD; Pansare, DN; Sarkate, AP; Thore, SN</t>
  </si>
  <si>
    <t>ORGANIC PREPARATIONS AND PROCEDURES INTERNATIONAL</t>
  </si>
  <si>
    <t>A facile synthesis of sulfonate esters from phenols using catalytic KF/NFSI and K2CO3</t>
  </si>
  <si>
    <t>0250-474X</t>
  </si>
  <si>
    <t>Wasadikar, M; Khubchandani, P</t>
  </si>
  <si>
    <t>KYUNGPOOK MATHEMATICAL JOURNAL</t>
  </si>
  <si>
    <t>FUZZY MODULARITY AND FUZZY COMPLEMENTS IN FUZZY LATTICES</t>
  </si>
  <si>
    <t>0268-1102</t>
  </si>
  <si>
    <t>INDIAN JOURNAL OF PURE &amp; APPLIED PHYSICS</t>
  </si>
  <si>
    <t>Quaternary Vanado-Molybdotungstophosphoric Acid [H5PW6Mo4V2O40] Over Natural Montmorillonite as a Heterogeneous Catalyst for the Synthesis 4H-Pyran and Polyhydroquinoline Derivatives</t>
  </si>
  <si>
    <t>Misal, SB; Gaikwad, AT</t>
  </si>
  <si>
    <t>COMPUTERS &amp; ELECTRICAL ENGINEERING</t>
  </si>
  <si>
    <t>Enhancing of Data Retrieval by Means of Database Query Analyzer (DBQA)</t>
  </si>
  <si>
    <t>0011-3891</t>
  </si>
  <si>
    <t>Rakibe, U; Ahirrao, V; Yeole, R; Wakte, P</t>
  </si>
  <si>
    <t>Stability Indicating Validated HPLC Method for Simultaneous Quantification of Nitazoxanide and Ofloxacin in Pharmaceutical Dosage Form</t>
  </si>
  <si>
    <t>0272-8842</t>
  </si>
  <si>
    <t>COLEGIO FARMACEUTICOS PROVINCIA DE BUENOS AIRES</t>
  </si>
  <si>
    <t>https://www.researchgate.net/publication/322557795_Stability_indicating_validated_HPLC_method_for_simultaneous_quantification_of_nitazoxanide_and_ofloxacin_in_pharmaceutical_dosage_form</t>
  </si>
  <si>
    <t>Siddiqui, MT; Pattiwar, JT; Paranjape, AP</t>
  </si>
  <si>
    <t>2018 4th International Conference for Convergence in Technology (I2CT)</t>
  </si>
  <si>
    <t>Statistical Analysis of the Influence of Various Temperatures on the Drying Time of Transformer Insulation in Vacuum Drying Process</t>
  </si>
  <si>
    <t>978-1-5386-5232-9</t>
  </si>
  <si>
    <t>http://dx.doi.org/10.1109/I2CT42659.2018.9057893</t>
  </si>
  <si>
    <t>Kinariwala, S; Deshmukh, S</t>
  </si>
  <si>
    <t>Short text topic modelling using local and global word-context semantic correlation</t>
  </si>
  <si>
    <t>Munot, DA; Ghadle, KP</t>
  </si>
  <si>
    <t>An innovative way for solving transportation problem using modular arithmetic</t>
  </si>
  <si>
    <t>2590-0374</t>
  </si>
  <si>
    <t>TARU PUBLICATIONS</t>
  </si>
  <si>
    <t>High-resolution liquid chromatography mass spectrometry (HR-LCMS) and 1H NMR analysis of methanol extracts from marine seaweed Gracilaria edulis</t>
  </si>
  <si>
    <t>Salunke, MA; Wakure, BS; Wakte, PS</t>
  </si>
  <si>
    <t>ELECTROCATALYSIS</t>
  </si>
  <si>
    <t>High-resolution liquid chromatography and mass spectrometry (HR-LCMS) assisted phytochemical profiling and an assessment of anticancer activities of Gracilaria foliifera and Turbinaria conoides using in vitro and molecular docking analysis</t>
  </si>
  <si>
    <t>2008-949X</t>
  </si>
  <si>
    <t>Sarkate, AP; Sarode, PP; Bhandari, SV; Karnik, KS; Narula, IS; Kale, BD; Jambhorkar, VS; Rajhans, AP</t>
  </si>
  <si>
    <t>JOURNAL OF STATISTICAL THEORY AND APPLICATIONS</t>
  </si>
  <si>
    <t>Convenient Microwave-Assisted Chlorosulfonic Acid-Catalyzed Synthesis of Some Quinazolinones from 2-Phenylindole</t>
  </si>
  <si>
    <t>Al-Hakimi, MA; Borade, DB; Saleh, MH</t>
  </si>
  <si>
    <t>JOURNAL OF SENSORS</t>
  </si>
  <si>
    <t>The mediating role of innovation between entrepreneurial orientation and supply chain resilience</t>
  </si>
  <si>
    <t>EMERALD GROUP PUBLISHING LTD</t>
  </si>
  <si>
    <t>Omeer, AA; Deshmukh, RR</t>
  </si>
  <si>
    <t>MATERIALS TODAY-PROCEEDINGS</t>
  </si>
  <si>
    <t>Improving the classification of invasive plant species by using continuous wavelet analysis and feature reduction techniques</t>
  </si>
  <si>
    <t>Sawant, MR; Gaikwad, ST; Rajbhoj, AS</t>
  </si>
  <si>
    <t>RUSSIAN JOURNAL OF GENERAL CHEMISTRY</t>
  </si>
  <si>
    <t>ELECTROCHEMICAL SYNTHESIS, CHARACTERIZATION AND ANTIMICROBIAL SCREENING OF NICKEL OXIDE NANOCLUSTERS</t>
  </si>
  <si>
    <t>Gaikwad, AA; Kulkarni, SB</t>
  </si>
  <si>
    <t>GROUNDWATER FOR SUSTAINABLE DEVELOPMENT</t>
  </si>
  <si>
    <t>Evaluation of dimensional effect on electromagnetic energy harvesting</t>
  </si>
  <si>
    <t>Shep, U; Kondre, J; Shep, P; Arbad, B; Kalalawe, V</t>
  </si>
  <si>
    <t>ENDOTHERMIC SOLVENT EXTRACTION OF COPPER (II) WITH FURFURYL THIOALCOHOL FROM SULFATE MEDIUM</t>
  </si>
  <si>
    <t>ASSOC METALLURGICAL ENGINEERS SERBIA</t>
  </si>
  <si>
    <t>Khillare, KR; Aher, DS; Chavan, LD; Shankarwar, SG</t>
  </si>
  <si>
    <t>Cesium salt of 2-molybdo-10-tungstophosphoric acid as an efficient and reusable catalyst for the synthesis of uracil derivatives via a green route</t>
  </si>
  <si>
    <t>Jadhav, CK; Nipate, AS; Chate, AV; Kulkarni, MV; Dofe, VS; Gill, CH</t>
  </si>
  <si>
    <t>JOURNAL OF HERBAL MEDICINE</t>
  </si>
  <si>
    <t>Rapid Multicomponent Tandem Annulation in Ionic Liquids: Convergent Access to 3-Amino-1-Alkylpyridin-2(1H)-One Derivatives as Potential Anticancer Scaffolds</t>
  </si>
  <si>
    <t>0957-4522</t>
  </si>
  <si>
    <t>Solanke, GS; Pachpatte, DB</t>
  </si>
  <si>
    <t>SUSTAINABILITY</t>
  </si>
  <si>
    <t>A Fractional Order Differential Equation Model for Tuberculosis</t>
  </si>
  <si>
    <t>BAGWAN, AS; PACHPATTE, DB</t>
  </si>
  <si>
    <t>INDIAN JOURNAL OF PHARMACEUTICAL SCIENCES</t>
  </si>
  <si>
    <t>EXISTENCE AND STABILITY OF NONLOCAL INITIAL VALUE PROBLEMS INVOLVING GENERALIZED KATUGAMPOLA DERIVATIVE</t>
  </si>
  <si>
    <t>UNIV KRAGUJEVAC, FAC SCIENCE</t>
  </si>
  <si>
    <t>INFORMATION TECHNOLOGY FOR DEVELOPMENT</t>
  </si>
  <si>
    <t>H3PMo7W5O40•24H2O catalyzed access to fused pyrazolopyranopyrimidine derivatives via one-pot multicomponent synthesis: green chemistry</t>
  </si>
  <si>
    <t>1042-6507</t>
  </si>
  <si>
    <t>SPRINGER WIEN</t>
  </si>
  <si>
    <t>Nipate, AS; Jadhav, CK; Chate, AV; Deshmukh, TR; Sarkate, AP; Gill, CH</t>
  </si>
  <si>
    <t>Synthesis and In Vitro Anticancer Activities of New 1,4-Disubstituted-1,2,3-triazoles Derivatives through Click Approach</t>
  </si>
  <si>
    <t>1144-0546</t>
  </si>
  <si>
    <t>Khandebharad, AU; Sarda, SR; Gill, C; Agrawal, BR</t>
  </si>
  <si>
    <t>CURRENT SCIENCE</t>
  </si>
  <si>
    <t>An Efficient Synthesis of Substituted Imidazoles Catalyzed by 3-N-Morpholinopropanesulfonic Acid (MOPS) under Ultrasound Irradiation</t>
  </si>
  <si>
    <t>2277-4521</t>
  </si>
  <si>
    <t>Kamble, PN; Shrigan, MG</t>
  </si>
  <si>
    <t>CERAMICS INTERNATIONAL</t>
  </si>
  <si>
    <t>Coefficient Estimates for a Subclass of Bi-univalent Functions Defined by Salagean Type q-Calculus Operator</t>
  </si>
  <si>
    <t>Rasal, YB; Shirsat, MD; Hussaini, SS</t>
  </si>
  <si>
    <t>Indian Journal of Pure &amp; Applied Physics</t>
  </si>
  <si>
    <t>Investigation on thiourea crystal grown in presence of ammonium acetate</t>
  </si>
  <si>
    <t>NATL INST SCIENCE COMMUNICATION-NISCAIR</t>
  </si>
  <si>
    <t>https://core.ac.uk/download/pdf/229209268.pdf</t>
  </si>
  <si>
    <t>A variable patch approach with polling mechanism for intelligent human tracking</t>
  </si>
  <si>
    <t>RESULTS IN APPLIED MATHEMATICS</t>
  </si>
  <si>
    <t>Synthesis of novel 1,2,3-triazoles bearing 2,4 thiazolidinediones conjugates and their biological evaluation</t>
  </si>
  <si>
    <t>Yewale, BR; Pachpatte, DB; Aljaaidi, TA</t>
  </si>
  <si>
    <t>JOURNAL OF SIBERIAN FEDERAL UNIVERSITY-MATHEMATICS &amp; PHYSICS</t>
  </si>
  <si>
    <t>Chebyshev-Type Inequalities Involving (k,ψ)-Proportional Fractional Integral Operators</t>
  </si>
  <si>
    <t>0269-3879</t>
  </si>
  <si>
    <t>Gujar, JB; Zambare, RN; Shingare, MS</t>
  </si>
  <si>
    <t>JOURNAL OF MATHEMATICS AND COMPUTER SCIENCE-JMCS</t>
  </si>
  <si>
    <t>Synthesis of Dihydropyrano[2,3-C]pyrazoles Using Mandelic Acid as an Efficient Catalyst</t>
  </si>
  <si>
    <t>2330-8249</t>
  </si>
  <si>
    <t>Mehdi, MAH; Omar, GMN; Farooqui, M; Pradhan, V</t>
  </si>
  <si>
    <t>THERAPEUTIC EFFECT OF TAMARINDUS INDICA EXTRACTS ON THE PATHOGENESIS OF ENTAMOEBA HISTOLYTICA IN-VIVO</t>
  </si>
  <si>
    <t>Bondle, GM; Atkore, ST</t>
  </si>
  <si>
    <t>INTERNATIONAL JOURNAL OF ENVIRONMENTAL RESEARCH AND PUBLIC HEALTH</t>
  </si>
  <si>
    <t>Synthesis and Biological Evaluation of Some Newly Synthesized Barbiturates and Their Derivatives by Using Task Specific Ionic Liquid [Bmim]OH</t>
  </si>
  <si>
    <t>2191-4761</t>
  </si>
  <si>
    <t>Mali, SM; Narwade, SS; Mulik, BB; Sapner, VS; Annadate, SJ; Sathe, BR</t>
  </si>
  <si>
    <t>BMC ECOLOGY AND EVOLUTION</t>
  </si>
  <si>
    <t>Nanostructured Ce/CeO2-rGO: Highly Sensitive and Selective Electrochemical Hydrogen Sulfide (H2S) Sensor</t>
  </si>
  <si>
    <t>Eissa, FY; Sonar, CD</t>
  </si>
  <si>
    <t>Alpha Power Transformed Extended power Lindley Distribution</t>
  </si>
  <si>
    <t>1735-4463</t>
  </si>
  <si>
    <t>Modeling Land Use Change in Sana'a City of Yemen with MOLUSCE</t>
  </si>
  <si>
    <t>Jadhav, DB; Kokate, RD</t>
  </si>
  <si>
    <t>Green synthesis and characterization of Zinc OxideCAL using Cicer arietinum leaves for NO2 gas detection</t>
  </si>
  <si>
    <t>1179-3155</t>
  </si>
  <si>
    <t>Patil, PS; Kasare, SL; Badar, AD; Kulkarni, RS; Dixit, PP; Kulkarni, JA; Choudhari, PB; Haval, KP</t>
  </si>
  <si>
    <t>Synthesis, Antimicrobial Evaluation, and Molecular Docking Study of New Thiazole-5-phenylpropenone Derivatives</t>
  </si>
  <si>
    <t>2299-9965</t>
  </si>
  <si>
    <t>Kale, A; Bandela, N; Kulkarni, J; Raut, K</t>
  </si>
  <si>
    <t>Factor analysis and spatial distribution of water quality parameters of Aurangabad District, India.</t>
  </si>
  <si>
    <t>2231-3087</t>
  </si>
  <si>
    <t>oicc press journals</t>
  </si>
  <si>
    <t>Betaine hydrochloride (BHC) catalyzed synthesis of 4-thiazolidinones derivatives</t>
  </si>
  <si>
    <t>2251-7227</t>
  </si>
  <si>
    <t>https://oiccpress.com/iranian-journal-of-catalysis/article/betaine-hydrochloride-bhc-catalyzed-synthesis-of-4-thiazolidinones-derivatives/</t>
  </si>
  <si>
    <t>Londhe, BS; Gujar, JB; Nalawade, AM; Nalawade, RA; Mane, RA</t>
  </si>
  <si>
    <t>A Green Approach to the Synthesis of 5-Arylidene-2,4-thiazolidinediones Using Aqueous SDS Micelle Catalysis</t>
  </si>
  <si>
    <t>0168-1699</t>
  </si>
  <si>
    <t>Mian, SS; Alam, MI; Khan, NA; Shuaib, M</t>
  </si>
  <si>
    <t>PHOSPHORUS SULFUR AND SILICON AND THE RELATED ELEMENTS</t>
  </si>
  <si>
    <t>Standardisation of different extracts of detoxified Nux-vomica seeds with its comparative study by TLC and HPTLC</t>
  </si>
  <si>
    <t>ELSEVIER GMBH</t>
  </si>
  <si>
    <t>Alkahtani, H; Aldhyani, THH; Alsubari, SN</t>
  </si>
  <si>
    <t>Application of Artificial Intelligence Model Solar Radiation Prediction for Renewable Energy Systems</t>
  </si>
  <si>
    <t>Desai, MM; Nikalje, APG</t>
  </si>
  <si>
    <t>Indian Journal of Pharmaceutical Sciences</t>
  </si>
  <si>
    <t>Formulation and Evaluation of Self Micro-Emulsifying drug delivery System of Carvedilol</t>
  </si>
  <si>
    <t>INDIAN PHARMACEUTICAL ASSOC</t>
  </si>
  <si>
    <t>https://www.ijpsonline.com/articles/formulation-and-evaluation-of-self-microemulsifying-drug-delivery-system-of-carvedilol.pdf</t>
  </si>
  <si>
    <t>Al-Hattami, HM</t>
  </si>
  <si>
    <t>Impact of AIS success on decision-making effectiveness among SMEs in less developed countries</t>
  </si>
  <si>
    <t>Hamoud, AA; Mohammed, NM; Ghadle, KP</t>
  </si>
  <si>
    <t>Some Powerful Techniques for Solving Nonlinear Volterra-Fredholm Integral Equations</t>
  </si>
  <si>
    <t>0969-806X</t>
  </si>
  <si>
    <t>Ghule, AN; Deshmukh, RR</t>
  </si>
  <si>
    <t>Wavelength selection and classification of hyperspectral non-imagery data to discriminate healthy and unhealthy vegetable leaves</t>
  </si>
  <si>
    <t>1570-1808</t>
  </si>
  <si>
    <t>INDIAN ACAD SCIENCES</t>
  </si>
  <si>
    <t>Somvanshi, SB; Khedkar, MV; Kharat, PB; Jadhav, KM</t>
  </si>
  <si>
    <t>Influential diamagnetic magnesium (Mg2+) ion substitution in nano-spinel zinc ferrite (ZnFe2O4): Thermal, structural, spectral, optical and physisorption analysis</t>
  </si>
  <si>
    <t>Kharat, PB; Chavan, AR; Humbe, AV; Jadhav, KM</t>
  </si>
  <si>
    <t>BIOMEDICAL CHROMATOGRAPHY</t>
  </si>
  <si>
    <t>Evaluation of thermoacoustics parameters of CoFe2O4-ethylene glycol nanofluid using ultrasonic velocity technique</t>
  </si>
  <si>
    <t>1615-9306</t>
  </si>
  <si>
    <t>Somvanshi, SB; Kumar, RV; Kounsalye, JS; Saraf, TS; Jadhav, KM</t>
  </si>
  <si>
    <t>REVIEWS IN FISHERIES SCIENCE &amp; AQUACULTURE</t>
  </si>
  <si>
    <t>Investigations of Structural, Magnetic and Induction Heating Properties of Surface Functionalized Zinc Ferrite Nanoparticles for Hyperthermia Applications</t>
  </si>
  <si>
    <t>Digraskar, RV; Sapner, VS; Narwade, SS; Mali, SM; Ghule, AV; Sathe, BR</t>
  </si>
  <si>
    <t>JOURNAL OF DISPERSION SCIENCE AND TECHNOLOGY</t>
  </si>
  <si>
    <t>Enhanced electrocatalytic hydrogen generation from water via cobalt-doped Cu2ZnSnS4 nanoparticles</t>
  </si>
  <si>
    <t>Faree, TA; Panchal, SK</t>
  </si>
  <si>
    <t>JOURNAL OF MANAGEMENT CONTROL</t>
  </si>
  <si>
    <t>Existence of solution for impulsive fractional differential equations with nonlocal conditions by topological degree theory</t>
  </si>
  <si>
    <t>Existence and Uniqueness of the Solution to a Class of Fractional Boundary Value Problems Using Topological Methods</t>
  </si>
  <si>
    <t>1076-6294</t>
  </si>
  <si>
    <t>Mohammed, NM; AL-Seadi, AN; Lomte, SS; Rokade, PM; Hamoud, AA</t>
  </si>
  <si>
    <t>IRANIAN JOURNAL OF MATHEMATICAL SCIENCES AND INFORMATICS</t>
  </si>
  <si>
    <t>Efficient and verifiable outsourcing computation of large-scale nonlinear programming</t>
  </si>
  <si>
    <t>JOURNAL MATHEMATICS &amp; COMPUTER SCIENCE-JMCS</t>
  </si>
  <si>
    <t>Digraskar, RV; Sapner, VS; Ghule, AV; Sathe, BR</t>
  </si>
  <si>
    <t>Enhanced Overall Water-Splitting Performance: Oleylamine-Functionalized GO/Cu2ZnSnS4 Composite as a Nobel Metal-Free and NonPrecious Electrocatalyst</t>
  </si>
  <si>
    <t>Aldhyani, THH; Alsubari, SN; Alshebami, AS; Alkahtani, H; Ahmed, ZAT</t>
  </si>
  <si>
    <t>PHYTOTAXA</t>
  </si>
  <si>
    <t>Detecting and Analyzing Suicidal Ideation on Social Media Using Deep Learning and Machine Learning Models</t>
  </si>
  <si>
    <t>0036-0244</t>
  </si>
  <si>
    <t>Arun, MG; Chechi, TS; Meena, R; Bhosle, SD; Srishti; Prasad, NG</t>
  </si>
  <si>
    <t>JOURNAL OF APPLIED MATHEMATICS AND COMPUTATIONAL MECHANICS</t>
  </si>
  <si>
    <t>Investigating the interaction between inter-locus and intra-locus sexual conflict using hemiclonal analysis in Drosophila melanogaster</t>
  </si>
  <si>
    <t>BMC</t>
  </si>
  <si>
    <t>Bhusari, S; Nikam, K; Kuchekar, B; Wakte, P</t>
  </si>
  <si>
    <t>HETEROCYCLIC LETTERS</t>
  </si>
  <si>
    <t>Phytochemical Investigation, TLC-HPLC Fingerprinting and Antioxidant Activity of Cissus repanda Roots</t>
  </si>
  <si>
    <t>Phatak, PS; Sathe, BP; Dhumal, ST; Rehman, NNMA; Dixit, PP; Khedkar, VM; Haval, KP</t>
  </si>
  <si>
    <t>Synthesis, Antimicrobial Evaluation, and Docking Studies of Substituted Acetylphenoxymethyl-triazolyl-N-phenylacetamides</t>
  </si>
  <si>
    <t>Pavas, LS; Mane, DV; Baheti, KG</t>
  </si>
  <si>
    <t>COMPUTERS AND ELECTRONICS IN AGRICULTURE</t>
  </si>
  <si>
    <t>Anti-inflammatory Exploration of Sulfonamide Containing Diaryl Pyrazoles with Promising COX-2 Selectivity and Enhanced Gastric Safety Profilen</t>
  </si>
  <si>
    <t>1686-0209</t>
  </si>
  <si>
    <t>Alkord, MN; Shaikh, SL</t>
  </si>
  <si>
    <t>BVP for generalized Hilfer integrodifferential equation with positive constant coefficient</t>
  </si>
  <si>
    <t>0217-9792</t>
  </si>
  <si>
    <t>Pawar, AR; Shaikh, KR; Salmote, AD; Undre, PB</t>
  </si>
  <si>
    <t>Fe3+ doped ZnO nanostructures for improved photocatalytic degradation of malachite green, crystal violet and antibacterial activity</t>
  </si>
  <si>
    <t>1572-6657</t>
  </si>
  <si>
    <t>Alzain, E; Alshebami, AS; Aldhyani, THH; Alsubari, SN</t>
  </si>
  <si>
    <t>Application of Artificial Intelligence for Predicting Real Estate Prices: The Case of Saudi Arabia</t>
  </si>
  <si>
    <t>Quazi, A; Khanam, N</t>
  </si>
  <si>
    <t>Response Surface Method Assisted Fabrication and Characterization of Optimized Aceclofenac Loaded Microspheres Inculcated with Multivariate Polymers</t>
  </si>
  <si>
    <t>Mathapati, SR; Patil, KN; Mathakari, SS; Suryawanshi, AW; Jadhav, AH</t>
  </si>
  <si>
    <t>RADIATION PHYSICS AND CHEMISTRY</t>
  </si>
  <si>
    <t>Fluorinated phosphoric acid as a versatile effective catalyst for synthesis of series of benzimidazoles, benzoxazoles and benzothiazoles at room temperature</t>
  </si>
  <si>
    <t>Chate, AV; Redlawar, AA; Bondle, GM; Sarkate, AP; Tiwari, SV; Lokwani, DK</t>
  </si>
  <si>
    <t>A new efficient domino approach for the synthesis of coumarin-pyrazolines as antimicrobial agents targeting bacterial d-alanine-d-alanine ligase</t>
  </si>
  <si>
    <t>Junne, RP; Patil, GM</t>
  </si>
  <si>
    <t>INORGANIC CHEMISTRY COMMUNICATIONS</t>
  </si>
  <si>
    <t>Postcolonial Conflict of Assimilation and Identity Formation in Andrea Levy's Small Island</t>
  </si>
  <si>
    <t>LITERARY VOICE</t>
  </si>
  <si>
    <t>Masda, SG; Khan, AR; Pathan, JM</t>
  </si>
  <si>
    <t>JOURNAL OF SEPARATION SCIENCE</t>
  </si>
  <si>
    <t>Photometric Solution of Visual Binary System: HIP57894</t>
  </si>
  <si>
    <t>0252-1938</t>
  </si>
  <si>
    <t>Abdo, MS; Panchal, SK; Wahash, HA</t>
  </si>
  <si>
    <t>Ulam-Hyers-Mittag-Leffler stability for a ψ-Hilfer problem with fractional order and infinite delay</t>
  </si>
  <si>
    <t>0022-3093</t>
  </si>
  <si>
    <t>Shinde, RS; Masand, VH; Patil, MK</t>
  </si>
  <si>
    <t>NANOBIOTECHNOLOGY IN NEURODEGENERATIVE DISEASES</t>
  </si>
  <si>
    <t>Antiinflammatory Activity of Triazine Thiazolidinone Derivatives: Molecular Docking and Pharmacophore Modelling</t>
  </si>
  <si>
    <t>0947-8396</t>
  </si>
  <si>
    <t>Tayde, DT; Navgire, ME; Lande, MK</t>
  </si>
  <si>
    <t>One Pot Three Component Synthesis of Substituted 3,4,6,7-Tetrahydro-3,3,6,6-Tetramethyl-9,10-Diphenylacridine-1,8(2H,5H,9H,10H)-Diones Catalyzed by Mesostrucrted In2O3-SiO2</t>
  </si>
  <si>
    <t>0009-2614</t>
  </si>
  <si>
    <t>Awasarmol, VV; Gaikwad, DK; Obaid, SS; Pawar, PP</t>
  </si>
  <si>
    <t>Gamma Radiation Studies on Organic Nonlinear Optical Materials in the Energy Range 122-1330 keV</t>
  </si>
  <si>
    <t>Shaikh, A; Tekale, S; Wagh, S; Padul, M</t>
  </si>
  <si>
    <t>MICROBIAL DRUG RESISTANCE</t>
  </si>
  <si>
    <t>Metabolite profiling of arginase inhibitor activity guided fraction ofFicus religiosaleaves by LC-HRMS</t>
  </si>
  <si>
    <t>2423-6713</t>
  </si>
  <si>
    <t>Salunke, M; Kalyankar, A; Khedkar, CD; Shingare, M; Khedkar, GD</t>
  </si>
  <si>
    <t>A Review on Shrimp Aquaculture in India: Historical Perspective, Constraints, Status and Future Implications for Impacts on Aquatic Ecosystem and Biodiversity</t>
  </si>
  <si>
    <t>0921-4526</t>
  </si>
  <si>
    <t>Shaikh, S; Kutwade, VV; Gattu, KP; Khan, F; Gajbar, P; Sonawane, M; Tonpe, DA; Sharma, M; Rajawat, DS; Sharma, R</t>
  </si>
  <si>
    <t>MATHEMATICS IN APPLIED SCIENCES AND ENGINEERING</t>
  </si>
  <si>
    <t>Formulation of microwave assisted Z-scheme MoS2@TiO2: explored physicochemical properties and photodegradation of MO dye</t>
  </si>
  <si>
    <t>RUSSIAN JOURNAL OF PHYSICAL CHEMISTRY A</t>
  </si>
  <si>
    <t>Validation of the D&amp;M IS success model in the context of accounting information system of the banking sector in the least developed countries</t>
  </si>
  <si>
    <t>Patade, SR; Andhare, DD; Khedkar, MV; Jadhav, SA; Jadhav, KM</t>
  </si>
  <si>
    <t>Synthesis and characterizations of magnetically inductive Mn-Zn spinel ferrite nanoparticles for hyperthermia applications (Expression of Concern of Vol 32, art no 13685, 2021)</t>
  </si>
  <si>
    <t>1878-5352</t>
  </si>
  <si>
    <t>Some New Uniqueness Results of Solutions for Fractional Volterra-Fredholm Integro-Differential Equations</t>
  </si>
  <si>
    <t>TARBIAT MODARES UNIV, ACECR</t>
  </si>
  <si>
    <t>EXISTENCE OF SOLUTION FOR IMPULSIVE FRACTIONAL DIFFERENTIAL EQUATIONS VIA TOPOLOGICAL DEGREE METHOD</t>
  </si>
  <si>
    <t>Gole, CN; Nimbalkar, VV; Sardesai, MM</t>
  </si>
  <si>
    <t>THAI JOURNAL OF MATHEMATICS</t>
  </si>
  <si>
    <t>Typifications of three names in Elaeocarpus (Elaeocarpaceae)</t>
  </si>
  <si>
    <t>1574-1443</t>
  </si>
  <si>
    <t>MAGNOLIA PRESS</t>
  </si>
  <si>
    <t>Abdo, MS; Wahash, HA; Panchal, SK</t>
  </si>
  <si>
    <t>INTERNATIONAL JOURNAL OF MODERN PHYSICS B</t>
  </si>
  <si>
    <t>POSITIVE SOLUTION OF A FRACTIONAL DIFFERENTIAL EQUATION WITH INTEGRAL BOUNDARY CONDITIONS</t>
  </si>
  <si>
    <t>CZESTOCHOWA UNIV TECHNOLOGY, INST MATHEMATICS</t>
  </si>
  <si>
    <t>Sonar, S; Vaidya, S; Bagal, M; Chondhekar, TK</t>
  </si>
  <si>
    <t>JOURNAL OF ELECTROANALYTICAL CHEMISTRY</t>
  </si>
  <si>
    <t>POTENTIOMETRIC STUDY OF BINARY COMPLEXES OF TRANSITION METAL ION CU+2 WITH SCIHFF BASE LIGANDS</t>
  </si>
  <si>
    <t>RAMAN PUBL</t>
  </si>
  <si>
    <t>Development and Validation of Stability-indicating High- Performance Liquid Chromatography Method for estimation of organic impurities of Carvedilol from bulk and its Dosage Form</t>
  </si>
  <si>
    <t>https://www.ijpsonline.com/articles/development-and-validation-of-stabilityindicating-highperformance-liquid-chromatography-method-for-estimation-of-organic.pdf</t>
  </si>
  <si>
    <t>Gaikwad, SV; Vibhute, AD; Kale, KV; Mehrotra, SC</t>
  </si>
  <si>
    <t>An innovative IoT based system for precision farming</t>
  </si>
  <si>
    <t>Synthesis and characterizations of magnetically inductive Mn-Zn spinel ferrite nanoparticles for hyperthermia applications (Publication with Expression of Concern)</t>
  </si>
  <si>
    <t>Desai, MM; Nikalje, AAG</t>
  </si>
  <si>
    <t>Quality-by-Design Based Development and Validation of Stability Indicating Method by UPLC Method for Impurities of Simvastatin from Drug and Pharmaceutical Dosage Form</t>
  </si>
  <si>
    <t>Dofe, VS; Sarkate, AP; Shaikh, ZM; Jadhav, CK; Nipte, AS; Gill, CH</t>
  </si>
  <si>
    <t>Ultrasound-assisted Synthesis of Novel Pyrazole and Pyrimidine Derivatives as Antimicrobial Agents</t>
  </si>
  <si>
    <t>Patil, HK; Deshmukh, MA; Bodkhe, GA; Shirsat, MD</t>
  </si>
  <si>
    <t>Glassy Carbon Electrode Modified with Polyanilne/Ethylenediamine for detection of Copper Ions</t>
  </si>
  <si>
    <t>0010-2628</t>
  </si>
  <si>
    <t>Mali, SM; Narwade, SS; Navale, YH; Patil, VB; Sathe, BR</t>
  </si>
  <si>
    <t>Facile synthesis of highly porous CuO nanoplates (NPs) for ultrasensitive and highly selective nitrogen dioxide/nitrite sensing</t>
  </si>
  <si>
    <t>Obaid, SS; Gaikwad, DK; Pawar, PP</t>
  </si>
  <si>
    <t>JOURNAL OF NON-CRYSTALLINE SOLIDS</t>
  </si>
  <si>
    <t>Determination of gamma ray shielding parameters of rocks and concrete</t>
  </si>
  <si>
    <t>Pawar, CD; Pansare, DN; Shinde, DB</t>
  </si>
  <si>
    <t>APPLIED PHYSICS A-MATERIALS SCIENCE &amp; PROCESSING</t>
  </si>
  <si>
    <t>(Substituted)-benzo[b]thiophene-4-carboxamide Synthesis and Antiproliferative Activity Study</t>
  </si>
  <si>
    <t>0365-6233</t>
  </si>
  <si>
    <t>Korde, SA; Thombre, PB; Dipake, SS; Sangshetti, JN; Rajbhoj, AS; Gaikwad, ST</t>
  </si>
  <si>
    <t>CHEMICAL PHYSICS LETTERS</t>
  </si>
  <si>
    <t>Neem gum (Azadirachta indicia) facilitated green synthesis of TiO2 and ZrO2 nanoparticles as antimicrobial agents</t>
  </si>
  <si>
    <t>Adhe, A; Ghadle, K</t>
  </si>
  <si>
    <t>Thermal Stress Analysis of Inhomogeneous Infinite Solid to 2D Elasticity of Thermoelastic Problems</t>
  </si>
  <si>
    <t>Alam, MI; Siddiqui, AUR; Khanam, N; Kamaruddin, SJ</t>
  </si>
  <si>
    <t>JOURNAL OF COMPUTATIONAL APPLIED MECHANICS</t>
  </si>
  <si>
    <t>A multivariate quantification of Box-Behnken design assisted method development and validation of dextromethorphan hydrobromide and desloratadine simultaneously by reverse-phase HPLC in in-house syrup formulation</t>
  </si>
  <si>
    <t>0169-4332</t>
  </si>
  <si>
    <t>Bhosle, MR; Shaikh, MA; Nipate, D; Khillare, LD; Bondle, GM; Sangshetti, JN</t>
  </si>
  <si>
    <t>PHYSICA B-CONDENSED MATTER</t>
  </si>
  <si>
    <t>ChCl:2ZnCl2 Catalyzed Efficient Synthesis of New Sulfonyl Decahydroacridine-1,8-Diones via One-Pot Multicomponent Reactions to Discover Potent Antimicrobial Agents</t>
  </si>
  <si>
    <t>1862-6300</t>
  </si>
  <si>
    <t>Khan, S; Belgamwar, A; Yeole, P</t>
  </si>
  <si>
    <t>Nanopharmaceuticals for the Improved Treatment of Cerebral Stroke</t>
  </si>
  <si>
    <t>Bhosle, MR; Nipte, D; Gaikwad, J; Shaikh, MA; Bondle, GM; Sangshetti, JN</t>
  </si>
  <si>
    <t>A rapid and green method for expedient multicomponent synthesis of N-substituted decahydroacridine-1,8-diones as potential antimicrobial agents</t>
  </si>
  <si>
    <t>Chavan, PP; Tanwade, PD; Sapner, VS; Sathe, BR</t>
  </si>
  <si>
    <t>Spherical Ni/NiO nanoparticles decorated on nanoporous carbon (NNC) as an active electrode material for urea and water oxidation reactions</t>
  </si>
  <si>
    <t>1557-1939</t>
  </si>
  <si>
    <t>Chavan, R; Naphade, B; Waykar, B; Bhagwat, S</t>
  </si>
  <si>
    <t>Investigations on In Vivo Pharmacokinetic/Pharmacodynamic Determinants of Fosfomycin in Murine Thigh and Kidney Infection Models</t>
  </si>
  <si>
    <t>MARY ANN LIEBERT, INC</t>
  </si>
  <si>
    <t>Digraskar, RV; Sapner, VS; Mali, SM; Narwade, SS; Ghule, AV; Sathe, BR</t>
  </si>
  <si>
    <t>CZTS Decorated on Graphene Oxide as an Efficient Electrocatalyst for High-Performance Hydrogen Evolution Reaction</t>
  </si>
  <si>
    <t>0361-5235</t>
  </si>
  <si>
    <t>Adhe, AB; Ghadle, KP; Thool, US</t>
  </si>
  <si>
    <t>JOURNAL OF INORGANIC AND ORGANOMETALLIC POLYMERS AND MATERIALS</t>
  </si>
  <si>
    <t>ANALYSIS OF THERMAL STRESSES TO 2D PLANE THERMOELASTIC INHOMOGENEOUS STRIP</t>
  </si>
  <si>
    <t>WESTERN LIBRARIES</t>
  </si>
  <si>
    <t>Navarkhele, VV</t>
  </si>
  <si>
    <t>Dielectric and Excess Properties of Glycols with Formamide Binary Mixtures at Different Temperatures</t>
  </si>
  <si>
    <t>Chate, AV; Kamdi, SP; Bhagat, AN; Sangshetti, JN; Gill, CH</t>
  </si>
  <si>
    <t>β-Cyclodextrin catalyzed one-pot four component auspicious protocol for synthesis of spiro[acridine-9,3-indole]-2,4,4(1H,5H,10H)-trione as a potential antimicrobial agent</t>
  </si>
  <si>
    <t>2158-107X</t>
  </si>
  <si>
    <t>Jadhav, SA; Khedkar, MV; Somvanshi, SB; Jadhav, KM</t>
  </si>
  <si>
    <t>2018 INTERNATIONAL CONFERENCE ON ADVANCES IN COMMUNICATION AND COMPUTING TECHNOLOGY (ICACCT)</t>
  </si>
  <si>
    <t>Magnetically retrievable nanoscale nickel ferrites: An active photocatalyst for toxic dye removal applications</t>
  </si>
  <si>
    <t>Initial value problem for a fractional neutral differential equation with infinite delay</t>
  </si>
  <si>
    <t>1054-2523</t>
  </si>
  <si>
    <t>Jain, RS; Dhakne, MB</t>
  </si>
  <si>
    <t>APPLIED SCIENCES-BASEL</t>
  </si>
  <si>
    <t>On Global Existence of Solutions for Abstract Nonlinear Functional Neutral Integro-Differential Equations with Nonlocal Condition</t>
  </si>
  <si>
    <t>CHIANG MAI UNIV, FAC SCIENCE</t>
  </si>
  <si>
    <t>Sensitive detection of heavy metal ions: An electrochemical approach</t>
  </si>
  <si>
    <t>1866-6280</t>
  </si>
  <si>
    <t>CZTS/MoS2-rGO Heterostructures: An efficient and highly stable electrocatalyst for enhanced hydrogen generation reactions</t>
  </si>
  <si>
    <t>ELSEVIER SCIENCE SA</t>
  </si>
  <si>
    <t>Belgamwar, A; Khan, S; Yeole, P</t>
  </si>
  <si>
    <t>Nanomedicines for Improved Antiretroviral Therapy in Neuro-AIDS</t>
  </si>
  <si>
    <t>Hamoud, AA; Abdo, MS; Ghadle, KP</t>
  </si>
  <si>
    <t>COMMENTATIONES MATHEMATICAE UNIVERSITATIS CAROLINAE</t>
  </si>
  <si>
    <t>EXISTENCE AND UNIQUENESS RESULTS FOR CAPUTO FRACTIONAL INTEGRO-DIFFERENTIAL EQUATIONS</t>
  </si>
  <si>
    <t>THE APPROXIMATE SOLUTIONS OF FRACTIONAL VOLTERRA - FREDHOLM INTEGRO-DIFFERENTIAL EQUATIONS BY USING ANALYTICAL TECHNIQUES</t>
  </si>
  <si>
    <t>The impact of demographic factors of clients' attitudes and their intentions to use FinTech services on the banking sector in the least developed countries</t>
  </si>
  <si>
    <t>2169-3536</t>
  </si>
  <si>
    <t>Barkul, RP; Sutar, RS; Patil, MK; Delekar, SD</t>
  </si>
  <si>
    <t>ARCHIV DER PHARMAZIE</t>
  </si>
  <si>
    <t>Photocatalytic Degradation of Organic Pollutants by Using Nanocrystalline Boron-doped TiO2 Catalysts</t>
  </si>
  <si>
    <t>Rathod, S; Dhage, V; Lande, M</t>
  </si>
  <si>
    <t>An eco-friendly synthesis of polyhydroquinoline derivatives using MoO3 promoted CeO2-ZrO2 solid heterogeneous catalyst</t>
  </si>
  <si>
    <t>Wahash, HA; Abdo, MS; Panchal, SK; Bhairat, SP</t>
  </si>
  <si>
    <t>Existence of solution for Hilfer fractional differential problem with nonlocal boundary condition in Banach spaces</t>
  </si>
  <si>
    <t>0268-2605</t>
  </si>
  <si>
    <t>Khedkar, MV; Somvanshi, SB; Humbe, AV; Jadhav, KM</t>
  </si>
  <si>
    <t>TECHNO-SOCIETAL 2018: PROCEEDINGS OF THE 2ND INTERNATIONAL CONFERENCE ON ADVANCED TECHNOLOGIES FOR SOCIETAL APPLICATIONS - VOL 1</t>
  </si>
  <si>
    <t>Surface modified sodium silicate based superhydrophobic silica aerogels prepared via ambient pressure drying process</t>
  </si>
  <si>
    <t>Andhare, DD; Patade, SR; Jadhav, SA; Somvanshi, SB; Jadhav, KM</t>
  </si>
  <si>
    <t>APPLIED SURFACE SCIENCE</t>
  </si>
  <si>
    <t>Rietveld refined structural, morphological, Raman and magnetic investigations of superparamagnetic Zn-Co nanospinel ferrites prepared by cost-effective co-precipitation route</t>
  </si>
  <si>
    <t>Patade, SR; Andhare, DD; Kharat, PB; Humbe, A; Jadhav, KM</t>
  </si>
  <si>
    <t>PHYSICA STATUS SOLIDI A-APPLICATIONS AND MATERIALS SCIENCE</t>
  </si>
  <si>
    <t>Impact of crystallites on enhancement of bandgap of Mn1-x ZnxFe2O4 (1 ≥ x ≥ 0) nanospinels</t>
  </si>
  <si>
    <t>Bhosle, MR; Joshi, SA; Bondle, GM; Sangshetti, JN</t>
  </si>
  <si>
    <t>Supramolecular biomimetic catalysis by β-cyclodextrin for the synthesis of new antimicrobial chromeno[4,3-b]quinolin-isonicotinamides in water</t>
  </si>
  <si>
    <t>Usage of the Variational Iteration Technique for Solving Fredholm Integro-Differential Equations</t>
  </si>
  <si>
    <t>UNIV TEHRAN, DANISHGAH-I TIHRAN</t>
  </si>
  <si>
    <t>Kounsalye, JS; Humbe, AV; Chavan, AR; Jadhav, KM</t>
  </si>
  <si>
    <t>JOURNAL OF SUPERCONDUCTIVITY AND NOVEL MAGNETISM</t>
  </si>
  <si>
    <t>Rietveld, cation distribution and elastic investigations of nanocrystalline Li0.5+0.5xZrxFe2.5-1.5xO4 synthesized via sol-gel route</t>
  </si>
  <si>
    <t>Chate, AV; Kamdi, SP; Bhagat, AN; Jadhav, CK; Nipte, A; Sarkate, AP; Tiwari, SV; Gill, CH</t>
  </si>
  <si>
    <t>Design, Synthesis and SAR Study of Novel Spiro [Pyrimido[5,4-b]Quinoline-10,5-Pyrrolo[2,3-d]Pyrimidine] Derivatives as Promising Anticancer Agents</t>
  </si>
  <si>
    <t>Patade, SR; Andhare, DD; Somvanshi, SB; Jadhav, SA; Khedkar, MV; Jadhav, KM</t>
  </si>
  <si>
    <t>JOURNAL OF ELECTRONIC MATERIALS</t>
  </si>
  <si>
    <t>Self-heating evaluation of superparamagnetic MnFe2O4 nanoparticles for magnetic fluid hyperthermia application towards cancer treatment</t>
  </si>
  <si>
    <t>Sutar, RS; Barkul, RP; Delekar, SD; Patil, MK</t>
  </si>
  <si>
    <t>Sunlight assisted photocatalytic degradation of organic pollutants using g-C3N4-TiO2 nanocomposites</t>
  </si>
  <si>
    <t>Thorat, HN; Murugkar, A</t>
  </si>
  <si>
    <t>Thermo-acoustical properties of carbamide and N, N-dimethylformamide binary mixture at different temperatures</t>
  </si>
  <si>
    <t>0973-1903</t>
  </si>
  <si>
    <t>https://doi.org/10.56042/ijpap.v58i3.29447</t>
  </si>
  <si>
    <t>Chavan, AR; Shisode, MV; Undre, PG; Jadhav, KM</t>
  </si>
  <si>
    <t>INTERNATIONAL JOURNAL OF ADVANCED COMPUTER SCIENCE AND APPLICATIONS</t>
  </si>
  <si>
    <t>Influence of Cr3+ substitution on structural, morphological, optical, and magnetic properties of nickel ferrite thin films</t>
  </si>
  <si>
    <t>2070-0733</t>
  </si>
  <si>
    <t>Ganure, KA; Dhale, LA; Shirsat, SE; Lohar, KS</t>
  </si>
  <si>
    <t>Morphological Study of Lanthanum-Doped Nano Spinel Ferrite via Normal Micelles Method</t>
  </si>
  <si>
    <t>1233-2356</t>
  </si>
  <si>
    <t>Pawar, CD; Sarkate, AP; Karnik, KS; Shinde, DB</t>
  </si>
  <si>
    <t>MEDICINAL CHEMISTRY RESEARCH</t>
  </si>
  <si>
    <t>Palladium Catalyzed Tricyclohexylphosphine Ligand Associated Synthesis of N-(2-(pyridine-4-yl)-1H-pyrrolo[3,2-c]-pyridin-6-yl-(substituted)-sulfonamide Derivatives as Antiproliferative Agents</t>
  </si>
  <si>
    <t>Dofe, VS; Sarkate, AP; Azad, R; Gill, CH</t>
  </si>
  <si>
    <t>Green synthesis and inhibitory effect of novel quinoline based thiazolidinones on the growth of MCF-7 human breast cancer cell line by G2/M cell cycle arrest</t>
  </si>
  <si>
    <t>Rajput, MR; Sable, GS; Gite, HR</t>
  </si>
  <si>
    <t>2018 International Conference On Advances in Communication and Computing Technology (ICACCT)</t>
  </si>
  <si>
    <t>Iris biometric technique for person authentication based on fusion of radon and 2D multi-wavelet transform</t>
  </si>
  <si>
    <t>978-1-5386-0926-2</t>
  </si>
  <si>
    <t>http://dx.doi.org/10.1109/ICACCT.2018.8529514</t>
  </si>
  <si>
    <t>Hebade, MJ; Deshmukh, TR; Dhumal, ST</t>
  </si>
  <si>
    <t>Silica supported dodecatungstophosphoric acid (DTP/SiO2): An efficient and recyclable heterogeneous catalyst for rapid synthesis of quinoxalines</t>
  </si>
  <si>
    <t>Naveed, QN; Alam, MM; Qahmash, AI; Quadri, KM</t>
  </si>
  <si>
    <t>Exploring the Determinants of Service Quality of Cloud E-Learning System for Active System Usage</t>
  </si>
  <si>
    <t>More, SP; Khedkar, MV; Andhare, DD; Humbe, AV; Jadhav, KM</t>
  </si>
  <si>
    <t>Influence of manganese (Mn) substitution on structural, infrared and dielectric properties of BaTiO3nanoceramics</t>
  </si>
  <si>
    <t>2383-4536</t>
  </si>
  <si>
    <t>Tayade, AP; Pawar, RP</t>
  </si>
  <si>
    <t>MATHEMATICS</t>
  </si>
  <si>
    <t>The Microwave Assisted and Efficient Synthesis of 2-Substituted Benzimidazole Mono-Condensation of O-Phenylenediamines and Aldehyde</t>
  </si>
  <si>
    <t>2075-7905</t>
  </si>
  <si>
    <t>Khedkar, MV; Jadhav, SA; Somvanshi, SB; Kharat, PB; Jadhav, KM</t>
  </si>
  <si>
    <t>IEEE ACCESS</t>
  </si>
  <si>
    <t>Physicochemical properties of ambient pressure dried surface modified silica aerogels: effect of pH variation</t>
  </si>
  <si>
    <t>Abdo, MS; Ibrahim, AG; Panchal, SK</t>
  </si>
  <si>
    <t>Noncompact perturbation of nonconvex noncompact sweeping process with delay</t>
  </si>
  <si>
    <t>CHARLES UNIV, FAC MATHEMATICS &amp; PHYSICS</t>
  </si>
  <si>
    <t>EXISTENCE AND ULAM-HYERS STABILITY OF THE IMPLICIT FRACTIONAL BOUNDARY VALUE PROBLEM WITH ψ-CAPUTO FRACTIONAL DERIVATIVE</t>
  </si>
  <si>
    <t>2250-1444</t>
  </si>
  <si>
    <t>Mali, SM; Chavan, PP; Navale, YH; Patil, VB; Sathe, BR</t>
  </si>
  <si>
    <t>APPLIED ORGANOMETALLIC CHEMISTRY</t>
  </si>
  <si>
    <t>Ultrasensitive and bifunctional ZnO nanoplates for an oxidative electrochemical and chemical sensor of NO2: implications towards environmental monitoring of the nitrite reaction</t>
  </si>
  <si>
    <t>Yadav, PC; Deshmukh, MA; Patil, HK; Bodkhe, GA; Sayyad, PW; Ingle, NN; Shirsat, MD</t>
  </si>
  <si>
    <t>Copolymers of Polyaniline and Poly-o-toluidine: Electrochemical Synthesis and characterization</t>
  </si>
  <si>
    <t>Nagargoje, AA; Shaikh, MH; Shingate, BB</t>
  </si>
  <si>
    <t>Curcumin-based bioactive heterocycles derived via multicomponent reactions</t>
  </si>
  <si>
    <t>Aher, DS; Khillare, KR; Chavan, LD; Shelke, VA; Shankarwar, SG</t>
  </si>
  <si>
    <t>A simple and efficient protocol for the synthesis of quinoxaline derivatives using recyclable H5PW6Mo4V2O40•14H2O catalyst</t>
  </si>
  <si>
    <t>Ghadle, KP; Adhe, AB</t>
  </si>
  <si>
    <t>STEADY-STATE TEMPERATURE ANALYSIS TO 2D ELASTICITY AND THERMO-ELASTICITY PROBLEMS FOR INHOMOGENEOUS SOLIDS IN HALF-PLANE</t>
  </si>
  <si>
    <t>0862-7959</t>
  </si>
  <si>
    <t>Ghodake, S; Ghumbre, S; Deshmukh, S</t>
  </si>
  <si>
    <t>Electrocardiogram Signal Denoising Using Hybrid Filtering for Cardiovascular Diseases Prediction</t>
  </si>
  <si>
    <t>Bhoj, PK; Kamble, GP; Yadav, JB; Dongale, TD; Sathe, BR; Ghule, A</t>
  </si>
  <si>
    <t>Economic and binder-free synthesis of NiCo2O4 nanosheets on a Flexible stainless steel mesh as a bifunctional electrode for water splitting</t>
  </si>
  <si>
    <t>2351-812X</t>
  </si>
  <si>
    <t>Sable, PB; Abood, NT; Botewad, SN; Dharne, GM</t>
  </si>
  <si>
    <t>Successive Ion Layer Adsorption and Reaction Method Developed ZnO Thin Films for NO2 Gas Sensing</t>
  </si>
  <si>
    <t>1612-1872</t>
  </si>
  <si>
    <t>A Nonlinear Integro-Differential Equation with Fractional Order and Nonlocal Conditions</t>
  </si>
  <si>
    <t>0254-0584</t>
  </si>
  <si>
    <t>Somvanshi, SB; Kharat, PB; Khedkar, MV; Jadhav, KM</t>
  </si>
  <si>
    <t>Hydrophobic to hydrophilic surface transformation of nano-scale zinc ferrite via oleic acid coating: Magnetic hyperthermia study towards biomedical applications</t>
  </si>
  <si>
    <t>0792-156X</t>
  </si>
  <si>
    <t>Kharat, PB; Humbe, AV; Kounsalye, JS; Jadhav, KM</t>
  </si>
  <si>
    <t>INTERNATIONAL JOURNAL OF AGRICULTURAL AND STATISTICAL SCIENCES</t>
  </si>
  <si>
    <t>Thermophysical Investigations of Ultrasonically Assisted Magnetic Nanofluids for Heat Transfer</t>
  </si>
  <si>
    <t>1024-2422</t>
  </si>
  <si>
    <t>Kharat, PB; Kounsalye, JS; Shisode, MV; Jadhav, KM</t>
  </si>
  <si>
    <t>ADVANCES IN APPLIED MATHEMATICS AND MECHANICS</t>
  </si>
  <si>
    <t>Preparation and Thermophysical Investigations of CoFe2O4-based Nanofluid: a Potential Heat Transfer Agent</t>
  </si>
  <si>
    <t>Shisode, MV; Humbe, AV; Kharat, PB; Jadhav, KM</t>
  </si>
  <si>
    <t>ACTA CHROMATOGRAPHICA</t>
  </si>
  <si>
    <t>Influence of Ba2+ on Opto-Electric Properties of Nanocrystalline BiFeO3 Multiferroic</t>
  </si>
  <si>
    <t>Humbe, AV; Kounsalye, JS; Shisode, MV; Jadhav, KM</t>
  </si>
  <si>
    <t>Rietveld refinement, morphology and superparamagnetism of nanocrystalline Ni0.70-xCuxZn0.30Fe2O4 spinel ferrite</t>
  </si>
  <si>
    <t>Tarwate, SB; Wahule, SS; Gattu, KP; Ghule, AV; Sharma, R</t>
  </si>
  <si>
    <t>Hydrothermal Synthesis of MnO2 Thin Film for Supercapacitor Application</t>
  </si>
  <si>
    <t>Patil, MK; Masand, VH; Maldhure, AK</t>
  </si>
  <si>
    <t>DIAMOND AND RELATED MATERIALS</t>
  </si>
  <si>
    <t>Schiff Base Metal Complexes Precursor for Metal Oxide Nanomaterials: A Review</t>
  </si>
  <si>
    <t>(IJACSA) International Journal of Advanced Computer Science and Applications,</t>
  </si>
  <si>
    <t>Optimized Cardiovascular Disease Detection and Features Extraction Algorithms from ECG Data</t>
  </si>
  <si>
    <t>SCIENCE &amp; INFORMATION SAI ORGANIZATION LTD</t>
  </si>
  <si>
    <t>http://dx.doi.org/10.14569/IJACSA.2020.0110826</t>
  </si>
  <si>
    <t>Bhosle, MR; Kharote, SA; Bondle, GM; Mali, JR</t>
  </si>
  <si>
    <t>Tromethamine organocatalyzed efficient tandem-multicomponent synthesis of new thiazolyl-4-thiazolidinones in aqueous medium</t>
  </si>
  <si>
    <t>1058-4587</t>
  </si>
  <si>
    <t>Hanuman, T; Anita, M</t>
  </si>
  <si>
    <t>JOURNAL OF APPLIED AND COMPUTATIONAL MECHANICS</t>
  </si>
  <si>
    <t>Thermo-Acoustic Analysis of Binary Mixture of Methylparaben in Methanol at 30°C</t>
  </si>
  <si>
    <t>Nikalje, APG; Tiwari, SV; Sarkate, AP; Karnik, KS</t>
  </si>
  <si>
    <t>JORDAN JOURNAL OF MATHEMATICS AND STATISTICS</t>
  </si>
  <si>
    <t>Imidazole-thiazole coupled derivatives as novel lanosterol 14-α demethylase inhibitors: ionic liquid mediated synthesis, biological evaluation and molecular docking study</t>
  </si>
  <si>
    <t>SPRINGER BIRKHAUSER</t>
  </si>
  <si>
    <t>Snehalata, A; Rao, KR</t>
  </si>
  <si>
    <t>Bioenergy Conversion from Aquatic Weed Water Hyacinth into Agronomically Valuable Vermicompost</t>
  </si>
  <si>
    <t>0217-9849</t>
  </si>
  <si>
    <t>Vharkate, MN; Musande, VB</t>
  </si>
  <si>
    <t>ELECTRONICS</t>
  </si>
  <si>
    <t>Fusion Based Feature Extraction and Optimal Feature Selection in Remote Sensing Image Retrieval</t>
  </si>
  <si>
    <t>Kale, A; Bandela, N; Kulkarni, J; Sahoo, SK; Kumar, A</t>
  </si>
  <si>
    <t>ASIAN JOURNAL OF PHARMACEUTICAL RESEARCH AND HEALTH CARE</t>
  </si>
  <si>
    <t>Hydrogeochemistry and multivariate statistical analysis of groundwater quality of hard rock aquifers from Deccan trap basalt in Western India</t>
  </si>
  <si>
    <t>Chate, AV; Rudrawar, PP; Bondle, GM; Sangeshetti, JN</t>
  </si>
  <si>
    <t>2-Aminoethanesulfonic acid: An efficient organocatalyst for green synthesis of spirooxindole dihydroquinazolinones and novel 1,2-(dihydroquinazolin-3(4H)isonicotinamides in water</t>
  </si>
  <si>
    <t>0960-894X</t>
  </si>
  <si>
    <t>Muluk, MB; Phatak, PS; Pawar, SB; Dhumal, ST; Rehman, NNMA; Dixit, PP; Choudhari, PB; Haval, KP</t>
  </si>
  <si>
    <t>Synthesis, antimicrobial, and antioxidant activities of new pyridyl- and thiazolyl-bearing carbohydrazides</t>
  </si>
  <si>
    <t>1022-1360</t>
  </si>
  <si>
    <t>Kounsalye, JS; Kharat, PB; Bhoyar, DN; Jadhav, KM</t>
  </si>
  <si>
    <t>Radiation-induced modifications in structural, electrical and dielectric properties of Ti4+ ions substituted Li0.5Fe2.5O4 nanoparticles</t>
  </si>
  <si>
    <t>Ammer, MA; Ahmed, ZAT; Alsubari, SN; Aldhyani, THH; Almaaytah, SA</t>
  </si>
  <si>
    <t>Application of Artificial Intelligence for Better Investment in Human Capital</t>
  </si>
  <si>
    <t>Al-Awadhi, M; Deshmukh, R</t>
  </si>
  <si>
    <t>MATHEMATICA BOHEMICA</t>
  </si>
  <si>
    <t>Enhancing Honey Adulteration Detection With Optimal Subspace Wavelength Reduction in Vis-NIR Reflection Spectroscopy</t>
  </si>
  <si>
    <t>IEEE-INST ELECTRICAL ELECTRONICS ENGINEERS INC</t>
  </si>
  <si>
    <t>Andhare, DD; Patade, SR; Khedkar, MV; Nawpute, AA; Jadhav, KM</t>
  </si>
  <si>
    <t>Intensive analysis of uncoated and surface modified Co-Zn nanoferrite as a heat generator in magnetic fluid hyperthermia applications</t>
  </si>
  <si>
    <t>Siddiqui, MM; Nagargoje, AA; Raza, AK; Pisal, PM; Shingate, BB</t>
  </si>
  <si>
    <t>MOROCCAN JOURNAL OF CHEMISTRY</t>
  </si>
  <si>
    <t>[Et3NH][HSO4] catalyzed solvent-free synthesis of new 1,2,3-triazolidene-indolinone derivatives</t>
  </si>
  <si>
    <t>Bhosale, MG; Sutar, RS; Londhe, SS; Patil, MK</t>
  </si>
  <si>
    <t>CHEMISTRY &amp; BIODIVERSITY</t>
  </si>
  <si>
    <t>Sol-gel method synthesized Ce-doped TiO2 visible light photocatalyst for degradation of organic pollutants</t>
  </si>
  <si>
    <t>Shaikh, MH; Subhedar, DD; Khedkar, VM; Shingate, BB</t>
  </si>
  <si>
    <t>MATERIALS CHEMISTRY AND PHYSICS</t>
  </si>
  <si>
    <t>[Et3NH][HSO4]-Catalyzed One-Pot Solvent Free Syntheses of Functionalized [1,6]-Naphthyridines and Biological Evaluation</t>
  </si>
  <si>
    <t>ISRAELI JOURNAL OF AQUACULTURE-BAMIDGEH</t>
  </si>
  <si>
    <t>In VitroActivity of Fosfomycin and Nitrofurantoin Against ContemporaryEnterobacteralesPathogens Isolated from Indian Tertiary Care Hospitals</t>
  </si>
  <si>
    <t>BIOCATALYSIS AND BIOTRANSFORMATION</t>
  </si>
  <si>
    <t>Existence and Uniqueness of the Solution for Volterra-Fredholm Integro-Differential Equations</t>
  </si>
  <si>
    <t>Shelke, SV; Dhumal, ST; Deshmukh, TR; Patil, MK</t>
  </si>
  <si>
    <t>A Mild and Rapid Synthesis of 2-aryl Benzimidazoles by using SO42-/ZrO2-TiO2 as a Heterogeneous Catalyst</t>
  </si>
  <si>
    <t>Kulkarni, MV; Jadhav, CK; Nipate, AS; Bhutada, S; Gill, CH; Magar, BK</t>
  </si>
  <si>
    <t>An Efficient One-Pot Green Protocol for the Synthesis of Dihydrochromeno[4,3-b]Pyrazolo[4,3-e]Pyridin-6(7H)-Ones Mediated by Diisopropyl Ethyl Ammonium Acetate at Room Temperature</t>
  </si>
  <si>
    <t>Chavan, R; Kamble, G; Kashale, A; Kolekar, S; Sathe, B; Ghule, A</t>
  </si>
  <si>
    <t>Facile, Cost Effective and Eco-friendly Approach to Synthesize Bio-MnO2 Nanosphered Thin Filmfor all Solid-State Flexible Asymmetric Supercapacitor</t>
  </si>
  <si>
    <t>Kutwade, VV; Gattu, KP; Dive, AS; Sonawane, ME; Tonpe, DA; Sharma, R</t>
  </si>
  <si>
    <t>Enhanced photosensing by Mg-doped ZnO hexagonal rods via a feasible chemical route</t>
  </si>
  <si>
    <t>Jadhav, CK; Nipate, AS; Chate, AV; Kamble, PM; Kadam, GA; Dofe, VS; Khedkar, VM; Gill, CH</t>
  </si>
  <si>
    <t>Room temperature ionic liquid promoted improved and rapid synthesis of highly functionalized imidazole and evaluation of their inhibitory activity against human cancer cells</t>
  </si>
  <si>
    <t>0031-9104</t>
  </si>
  <si>
    <t>Vibhute, AD; Kale, KV; Gaikwad, SV; Dhumal, RK</t>
  </si>
  <si>
    <t>Estimation of soil nitrogen in agricultural regions by VNIR reflectance spectroscopy</t>
  </si>
  <si>
    <t>Sonar, C; Rajarajan, J</t>
  </si>
  <si>
    <t>INTEGRATED FERROELECTRICS</t>
  </si>
  <si>
    <t>EXTREME VERTICES DESIGNS FOR MULTI-COMPONENT CONSTRAINED MIXTURE EXPERIMENTS USING SIMPLEX METHOD</t>
  </si>
  <si>
    <t>2213-7165</t>
  </si>
  <si>
    <t>DR RAM KISHAN</t>
  </si>
  <si>
    <t>Fractional Integro-Differential Equations Involving ψ-Hilfer Fractional Derivative</t>
  </si>
  <si>
    <t>1432-881X</t>
  </si>
  <si>
    <t>GLOBAL SCIENCE PRESS</t>
  </si>
  <si>
    <t>Rakibe, U; Tiwari, R; Rane, V; Wakte, P</t>
  </si>
  <si>
    <t>UPLC, HR-MS, and In-Silico Tools for Simultaneous Separation, Characterization, and In-Silico Toxicity Prediction of Degradation Products of Atorvastatin and Olmesartan</t>
  </si>
  <si>
    <t>AKADEMIAI KIADO ZRT</t>
  </si>
  <si>
    <t>MODERN PHYSICS LETTERS B</t>
  </si>
  <si>
    <t>Weighted Fractional Neutral Functional Differential Equations</t>
  </si>
  <si>
    <t>0250-4707</t>
  </si>
  <si>
    <t>Bhosle, MR; Wahul, DB; Bondle, GM; Sarkate, A; Tiwari, SV</t>
  </si>
  <si>
    <t>An efficient multicomponent synthesis and in vitro anticancer activity of dihydropyranochromene and chromenopyrimidine-2,5-diones</t>
  </si>
  <si>
    <t>1319-1578</t>
  </si>
  <si>
    <t>Kallawar, GA; Bhanvase, BA; Sathe, BR</t>
  </si>
  <si>
    <t>Sonochemically prepared bismuth doped titanium oxide-reduced graphene oxide (Bi@TiO2-rGO) nanocomposites for effective visible light photocatalytic degradation of malachite green</t>
  </si>
  <si>
    <t>1176-2322</t>
  </si>
  <si>
    <t>TWMS Journal of Applied and Engineering Mathematics</t>
  </si>
  <si>
    <t>SOME NEW RESULTS ON NONLINEAR FRACTIONAL ITERATIVE VOLTERRA-FREDHOLM INTEGRO DIFFERENTIAL EQUATIONS</t>
  </si>
  <si>
    <t>https://www.google.com/url?sa=t&amp;source=web&amp;rct=j&amp;opi=89978449&amp;url=https://jaem.isikun.edu.tr/web/images/articles/vol.12.no.4/12.pdf&amp;ved=2ahUKEwjv3IWKttuGAxV1a2wGHeaYAVwQFnoECA8QAQ&amp;usg=AOvVaw30iPOCXC3cBliksrF-7h6-</t>
  </si>
  <si>
    <t>Manjul, RK; Gade, VB; Gaikwad, DN; Suryavanshi, DM; Rajbhoj, AS; Gaikwad, ST</t>
  </si>
  <si>
    <t>MACROMOLECULAR SYMPOSIA</t>
  </si>
  <si>
    <t>1-Ethyl-3-Methylimidazolium Cyanoborohydride Catalyzed Solvent Free Microwave Assisted One Pot Multicomponent Synthesis of Tetrahydrobenzo[b]Pyran Derivatives</t>
  </si>
  <si>
    <t>Patade, SR; Andhare, DD; Somvanshi, SB; Kharat, PB; Jadhav, KM</t>
  </si>
  <si>
    <t>Effect of Zinc Doping on Water-Based Manganese Ferrite Nanofluids for Magnetic Hyperthermia Application</t>
  </si>
  <si>
    <t>Some New Existence, Uniqueness and Convergence Results for Fractional Volterra-Fredholm Integro-Differential Equations</t>
  </si>
  <si>
    <t>0973-1458</t>
  </si>
  <si>
    <t>SHAHID CHAMRAN UNIV AHVAZ, IRAN</t>
  </si>
  <si>
    <t>Hamoud, AA; Ghadle, KP; Pathade, PA</t>
  </si>
  <si>
    <t>AN EXISTENCE AND CONVERGENCE RESULTS FOR CAPUTO FRACTIONAL VOLTERRA INTEGRO-DIFFERENTIAL EQUATIONS</t>
  </si>
  <si>
    <t>2296-8016</t>
  </si>
  <si>
    <t>YARMOUK UNIV, DEANSHIP RESEARCH &amp; GRADUATE STUDIES</t>
  </si>
  <si>
    <t>http://dx.doi.org/10.7862/rf.2018.9</t>
  </si>
  <si>
    <t>Gill, CH; Chate, AV; Shinde, GY; Sarkate, AP; Tiwari, SV</t>
  </si>
  <si>
    <t>One-pot, four-component synthesis and SAR STUDIES of spiro[pyrimido[5,4-b]quinoline-10,5'-pyrrolo[2,3-d]pyrimidine] derivatives catalyzed by β-cyclodextrin in water as potential anticancer agents</t>
  </si>
  <si>
    <t>Aldhyani, THH; Al-Adhaileh, MH; Alsubari, SN</t>
  </si>
  <si>
    <t>Cyberbullying Identification System Based Deep Learning Algorithms</t>
  </si>
  <si>
    <t>Pawar, DP; Shamkuwar, PB</t>
  </si>
  <si>
    <t>Antioxidant and inflammatory cytokines regulatory actions of fresh snail and seawater gastropods extracts</t>
  </si>
  <si>
    <t>0933-4173</t>
  </si>
  <si>
    <t>Singhavi, DJ; Yeole, P; Khan, S</t>
  </si>
  <si>
    <t>Preparation and in-vitro / in-vivo Characterization of Transdermal Amphiphilogel Loaded with Biodegradable Polymeric Submicron Carriers of Meloxicam for Treatment of Inflammation</t>
  </si>
  <si>
    <t>1300-0098</t>
  </si>
  <si>
    <t>Jadhav, SA; Khedkar, MV; Andhare, DD; Gopale, SB; Jadhav, KM</t>
  </si>
  <si>
    <t>Visible light photocatalytic activity of magnetically diluted Ni-Zn spinel ferrite for active degradation of rhodamine B</t>
  </si>
  <si>
    <t>Shah, AP; Jain, S; Mokale, VJ; Shimpi, NG</t>
  </si>
  <si>
    <t>High performance visible light photocatalysis of electrospun PAN/ZnO hybrid nanofibers</t>
  </si>
  <si>
    <t>Tiknaik, A; Kalyankar, A; Shingare, M; Suryawanshi, R; Prakash, B; Sontakke, TA; Nalage, D; Sanil, R; Khedkar, G</t>
  </si>
  <si>
    <t>Refutation of media reports on introduction of the red bellied piranha and potential impacts on aquatic biodiversity in India</t>
  </si>
  <si>
    <t>1386-2073</t>
  </si>
  <si>
    <t>Bhairat, SP; Dhaigude, DB</t>
  </si>
  <si>
    <t>EXISTENCE OF SOLUTIONS OF GENERALIZED FRACTIONAL DIFFERENTIAL EQUATION WITH NONLOCAL INITIAL CONDITION</t>
  </si>
  <si>
    <t>0045-2068</t>
  </si>
  <si>
    <t>INST MATHEMATICS, AS CR</t>
  </si>
  <si>
    <t>Shisode, MV; Bhoyar, DN; Khirade, PP; Jadhav, KM</t>
  </si>
  <si>
    <t>Structural, Microstructural, Magnetic, and Ferroelectric Properties of Ba2+-Doped BiFeO3 Nanocrystalline Multifferroic Material</t>
  </si>
  <si>
    <t>Al-horaibi, SA; Alghamdi, MT; Gaikwad, ST; Rajbhoj, AS</t>
  </si>
  <si>
    <t>Moroccan Journal of Chemistry</t>
  </si>
  <si>
    <t>Comparison and Determine Characteristics Potentials of HOMO/LUMO and Relationship between Ea and Ip for Squaraine Dyes (SQ1, SQ2) by Using Cyclic Voltammetry and DFT/TD-DFT</t>
  </si>
  <si>
    <t>UNIV MOHAMMED PREMIER OUJDA</t>
  </si>
  <si>
    <t>https://revues.imist.ma/index.php/morjchem/login</t>
  </si>
  <si>
    <t>Bhandari, SV; Kuthe, PV; Patil, SM; Nagras, OG; Sarkate, AP; Chaudhari, SY; Surve, SV</t>
  </si>
  <si>
    <t>Molecular Docking, Pharmacokinetic and Molecular Simulation Analysis of Novel Mono-Carbonyl Curcumin Analogs as L858R/T790M/C797S Mutant EGFR Inhibitors</t>
  </si>
  <si>
    <t>0128-5157</t>
  </si>
  <si>
    <t>PHYSICS AND CHEMISTRY OF LIQUIDS</t>
  </si>
  <si>
    <t>Stable and highly efficient Co-Bi nanoalloy decorated on reduced graphene oxide (Co-Bi@rGO) anode for formaldehyde and urea oxidation reactions</t>
  </si>
  <si>
    <t>Haymer, DS; Khedkar, GD</t>
  </si>
  <si>
    <t>AXIOMS</t>
  </si>
  <si>
    <t>Biology of selected Clarias catfish species used in aquaculture</t>
  </si>
  <si>
    <t>0141-1594</t>
  </si>
  <si>
    <t>AquacultureHub Inc</t>
  </si>
  <si>
    <t>Kolat, SP; Patil, H</t>
  </si>
  <si>
    <t>JOURNAL OF GLOBAL ANTIMICROBIAL RESISTANCE</t>
  </si>
  <si>
    <t>Biocatalytic transformations of bioactive labdane diterpenoids from Andrographis paniculata (Burm f.) Nees: A review</t>
  </si>
  <si>
    <t>Ramteke, L; Gawali, P; Jadhav, BL; Chopade, BA</t>
  </si>
  <si>
    <t>THEORETICAL CHEMISTRY ACCOUNTS</t>
  </si>
  <si>
    <t>Comparative Study on Antibacterial Activity of Metal Ions, Monometallic and Alloy Noble Metal Nanoparticles Against Nosocomial Pathogens</t>
  </si>
  <si>
    <t>Jadhav, SA; Somvanshi, SB; Khedkar, MV; Patade, SR; Jadhav, KM</t>
  </si>
  <si>
    <t>Magneto-structural and photocatalytic behavior of mixed Ni-Zn nano-spinel ferrites: visible light-enabled active photodegradation of rhodamine B</t>
  </si>
  <si>
    <t>Deshmukh, M; Kakarwal, SN; Deshmukh, R</t>
  </si>
  <si>
    <t>BULLETIN OF MATERIALS SCIENCE</t>
  </si>
  <si>
    <t>An Adaptive Neighbour Knowledge-Based Hybrid Broadcasting for Emergency Communications</t>
  </si>
  <si>
    <t>Dofe, VS; Sarkate, AP; Shaikh, ZM; Gill, CH</t>
  </si>
  <si>
    <t>JOURNAL OF KING SAUD UNIVERSITY-COMPUTER AND INFORMATION SCIENCES</t>
  </si>
  <si>
    <t>Ultrasound-assisted synthesis and antimicrobial activity of tetrazole-based pyrazole and pyrimidine derivatives</t>
  </si>
  <si>
    <t>Sayyad, PW; Ansari, TR; Ingle, NN; Al-Gahouari, T; Bodkhe, GA; Mahadik, MM; Shirsat, SM; Shirsat, MD</t>
  </si>
  <si>
    <t>APPLIED BIONICS AND BIOMECHANICS</t>
  </si>
  <si>
    <t>L-Cysteine peptide-functionalized PEDOT-PSS/rGO nanocomposite for selective electrochemical detection of lead Pb(II) ions</t>
  </si>
  <si>
    <t>Bhosale, AB; Somvanshi, SB; Murumkar, VD; Jadhav, KM</t>
  </si>
  <si>
    <t>Influential incorporation of RE metal ion (Dy3+) in yttrium iron garnet (YIG) nanoparticles: Magnetic, electrical and dielectric behaviour</t>
  </si>
  <si>
    <t>Muluk, MB; Ubale, AS; Dhumal, ST; Rehman, NNMA; Dixit, PP; Kharat, KK; Choudhari, PB; Haval, KP</t>
  </si>
  <si>
    <t>Synthesis, anticancer and antimicrobial evaluation of new pyridyl and thiazolyl clubbed hydrazone scaffolds</t>
  </si>
  <si>
    <t>Alameen, AS; Yaseen, SA; Saif, FA; Undre, SB; Undre, PB</t>
  </si>
  <si>
    <t>Physicochemical and Optical Properties of Dispersed Zinc Oxide Nanoparticles with Polymers in Water at Room Temperature</t>
  </si>
  <si>
    <t>Bhoyar, DN; Kounsalye, JS; Khirade, PP; Pandit, AA; Jadhav, KM</t>
  </si>
  <si>
    <t>INDIAN JOURNAL OF PHYSICS</t>
  </si>
  <si>
    <t>Doping Effect of Fe Ions on the Structural, Electrical, and Magnetic Properties of SrTiO3 Nanoceramic Matrix</t>
  </si>
  <si>
    <t>Goud, PM; Nanware, JA; Holambe, TL; Jadhav, NB</t>
  </si>
  <si>
    <t>FRONTIERS IN MATERIALS</t>
  </si>
  <si>
    <t>Approximate Method for Solving System of Linear Fredholm Fractional Integro-Differential Equations Using Least Squares Method and Lauguerre Polynomials</t>
  </si>
  <si>
    <t>Kulkarni, RB; Anis, M; Hussaini, SS; Shirsat, MD</t>
  </si>
  <si>
    <t>Tuning optical properties of cadmium thiourea acetate nonlinear optical crystal exploiting organic ligand of L-proline</t>
  </si>
  <si>
    <t>Obaid, SS; Gaikwad, DK; Sayyed, MI; AL-Rashdi, K; Pawar, PP</t>
  </si>
  <si>
    <t>Heavy metal ions removal from waste water bythe natural zeolites</t>
  </si>
  <si>
    <t>Chavan, AS; Kharat, AS; Bhosle, MR; Dhumal, ST; Mane, RA</t>
  </si>
  <si>
    <t>JPC-JOURNAL OF PLANAR CHROMATOGRAPHY-MODERN TLC</t>
  </si>
  <si>
    <t>CAL-B accelerated novel synthetic protocols for 3,3′-arylidenebis-4-hydroxycoumarins and dimethyl ((substituted phenyl) (phenylamino)methyl) phosphonates</t>
  </si>
  <si>
    <t>Patil, PS; Kasare, SL; Haval, NB; Khedkar, VM; Dixit, PP; Rekha, EM; Sriram, D; Haval, KP</t>
  </si>
  <si>
    <t>TURKISH JOURNAL OF MATHEMATICS</t>
  </si>
  <si>
    <t>Novel isoniazid embedded triazole derivatives: Synthesis, antitubercular and antimicrobial activity evaluation</t>
  </si>
  <si>
    <t>2288-4637</t>
  </si>
  <si>
    <t>Kharat, PB; Somvanshi, SB; Somwanshi, SB; Mopari, AM</t>
  </si>
  <si>
    <t>Low-cost Fabrication of Zn-doped MnFe2O4 (Mn0.5Zn0.5Fe2O4) Film for H2S Gas Sensing Applications</t>
  </si>
  <si>
    <t>Mahadik, M; Bodkhe, G; Ingle, N; Sayyad, P; Al-Gahouari, T; Shirsat, SM; Datta, K; Shirsat, MD</t>
  </si>
  <si>
    <t>Ethylenediaminetetra Acetic Acid Functionalized Polyaniline Nanowires: Organic Field Effect Transistor for the Detection of Hg2+</t>
  </si>
  <si>
    <t>0960-0779</t>
  </si>
  <si>
    <t>Mulik, BB; Bankar, BD; Munde, AV; Chavan, PP; Biradar, AV; Sathe, BR</t>
  </si>
  <si>
    <t>COMBINATORIAL CHEMISTRY &amp; HIGH THROUGHPUT SCREENING</t>
  </si>
  <si>
    <t>Electrocatalytic and catalytic CO2 hydrogenation on ZnO/g-C3N4 hybrid nanoelectrodes</t>
  </si>
  <si>
    <t>Dalavi, JV; Bramhadande, S; Pokle, D; Yadav, S</t>
  </si>
  <si>
    <t>BIOORGANIC CHEMISTRY</t>
  </si>
  <si>
    <t>Alysicarpus bhuibavadensis (Fabaceae) a new species from Western Ghats of India</t>
  </si>
  <si>
    <t>Saeed, YA; Undre, PB; Saif, FA; Yaseen, SA; Alameen, AS; Patil, SS; Khirade, PW</t>
  </si>
  <si>
    <t>Molecular Interaction Studies of Bromobenzene with Methoxyethanol and Ethoxyethanol</t>
  </si>
  <si>
    <t>0974-3626</t>
  </si>
  <si>
    <t>Yaseen, SA; Alameen, AS; Saif, FA; Undre, SB; Undre, PB</t>
  </si>
  <si>
    <t>WEED RESEARCH</t>
  </si>
  <si>
    <t>Intermolecular dispersion potential of cerium oxide nanoflakes with aqueous polymer and amino acids studied by using physicochemical and optical properties at 303.15 K</t>
  </si>
  <si>
    <t>Shirsat, SM; Bodkhe, GA; Sonawane, MM; Gawali, BW; Shirsat, MD</t>
  </si>
  <si>
    <t>3L-LANGUAGE LINGUISTICS LITERATURE-THE SOUTHEAST ASIAN JOURNAL OF ENGLISH LANGUAGE STUDIES</t>
  </si>
  <si>
    <t>Multivariate Analysis of a Cobalt Octaethyl Porphyrin-Functionalized SWNT Microsensor Device for Selective and Simultaneous Detection of Multiple Analytes</t>
  </si>
  <si>
    <t>Ingle, N; Sayyad, P; Deshmukh, M; Bodkhe, G; Mahadik, M; Al-Gahouari, T; Shirsat, S; Shirsat, MD</t>
  </si>
  <si>
    <t>A chemiresistive gas sensor for sensitive detection of SO2 employing Ni-MOF modified -OH-SWNTs and -OH-MWNTs</t>
  </si>
  <si>
    <t>Sayyad, PW; Khan, SS; Ingle, NN; Bodkhe, GA; Al-Gahouari, T; Mahadik, MM; Shirsat, SM; Shirsat, MD</t>
  </si>
  <si>
    <t>PHASE TRANSITIONS</t>
  </si>
  <si>
    <t>Chemiresistive SO2 sensor: graphene oxide (GO) anchored poly(3,4-ethylenedioxythiophene):poly(4styrenesulfonate) (PEDOT:PSS)</t>
  </si>
  <si>
    <t>Sengar, B; McMillin, LH</t>
  </si>
  <si>
    <t>Location, expositions and synthesis in the region</t>
  </si>
  <si>
    <t>https://www.taylorfrancis.com/chapters/edit/10.4324/9780429343698-1/introduction-bina-sengar-laurie-hovell-mcmillin</t>
  </si>
  <si>
    <t>Ghaleb, JQ; Undre, PB; Yaseen, SA; Saif, FA; Alameen, AS; Patil, SS; Khirade, PW</t>
  </si>
  <si>
    <t>MATERIALS RESEARCH EXPRESS</t>
  </si>
  <si>
    <t>FTIR and Dielectric Studies on Molecular Interaction between Chlorobenzene with 2-Methoxyethanol and 2-Ethoxyethanol</t>
  </si>
  <si>
    <t>1932-9466</t>
  </si>
  <si>
    <t>Kharat, PB; More, SD; Somvanshi, SB; Jadhav, KM</t>
  </si>
  <si>
    <t>Exploration of thermoacoustics behavior of water based nickel ferrite nanofluids by ultrasonic velocity method</t>
  </si>
  <si>
    <t>0266-6669</t>
  </si>
  <si>
    <t>Kashid, BB; Ghanwat, AA; Khedkar, VM; Dongare, BB; Shaikh, MH; Deshpande, PP; Wakchaure, YB</t>
  </si>
  <si>
    <t>Design, Synthesis, In Vitro Antimicrobial, Antioxidant Evaluation, and Molecular Docking Study of Novel Benzimidazole and Benzoxazole Derivatives</t>
  </si>
  <si>
    <t>1386-1425</t>
  </si>
  <si>
    <t>Huse, NP; Dive, AS; Mahajan, SV; Sharma, R</t>
  </si>
  <si>
    <t>Facile, one step synthesis of non-toxic kesterite Cu2ZnSnS4 nanoflakes thin film by chemical bath deposition for solar cell application (vol 29, pg 5649, 2018)</t>
  </si>
  <si>
    <t>Gubari, GMM; Mohammed, SMI; Huse, NP; Dive, AS; Sharma, R</t>
  </si>
  <si>
    <t>An Experimental and Theoretical Study of Cu0.2Zn0.8S Thin Film Grown by Facile Chemical Bath Deposition As an Efficient Photosensor</t>
  </si>
  <si>
    <t>Girhe, NB; Botewad, SN; Pawar, PP; Kadam, AB</t>
  </si>
  <si>
    <t xml:space="preserve">
Physics and Chemistry of Liquids
An International Journal
</t>
  </si>
  <si>
    <t>Development of water based CuO-GO binary nanofluid and study the effects of volume fraction, temperature on thermal, rheological properties</t>
  </si>
  <si>
    <t>Chinchane, VL; Nale, AB; Panchal, SK; Chesneau, C</t>
  </si>
  <si>
    <t>On Some Fractional Integral Inequalities Involving Caputo-Fabrizio Integral Operator</t>
  </si>
  <si>
    <t>1348-0391</t>
  </si>
  <si>
    <t>Nasser, M; Gayen, S; Kharat, AS</t>
  </si>
  <si>
    <t>Prevalence of β-lactamase and antibiotic-resistant Pseudomonas aeruginosa in the Arab region</t>
  </si>
  <si>
    <t>1748-670X</t>
  </si>
  <si>
    <t>Sambare, AA; Pawar, R; Shirsat, M</t>
  </si>
  <si>
    <t>A DFT investigation on transition metal (Co, Cr, Cu, Mn, Mo and Nb)-doped bismuth ferrite oxide (BiFeO3) for CO gas adsorption</t>
  </si>
  <si>
    <t>Deshmukh, TR; Khedkar, VM; Sangshetti, JN; Shingate, BB</t>
  </si>
  <si>
    <t>Exploring the antioxidant potential of bis-1,2,3-triazolyl-N-phenylacetamides</t>
  </si>
  <si>
    <t>0765-0019</t>
  </si>
  <si>
    <t>Intermolecular interactions of ZnO nanodispersion with aqueous polyethylene glycol via physicochemical and optical study</t>
  </si>
  <si>
    <t>Salve, P; Yannawar, P; Sardesai, M</t>
  </si>
  <si>
    <t>Multimodal plant recognition through hybrid feature fusion technique using imaging and non-imaging hyper-spectral data</t>
  </si>
  <si>
    <t>Alsubari, SN; Deshmukh, SN; Al-Adhaileh, MH; Alsaade, FW; Aldhyani, THH</t>
  </si>
  <si>
    <t>RETRACTED: Development of Integrated Neural Network Model for Identification of Fake Reviews in E-Commerce Using Multidomain Datasets (Retracted article. See vol. 2023, 2023)</t>
  </si>
  <si>
    <t>0015-0193</t>
  </si>
  <si>
    <t>Mehdi, MAH; Pradhan, V; Farooqui, M; Alarabi, FYS; Omar, GMN</t>
  </si>
  <si>
    <t>JOURNAL OF ASIAN FINANCE ECONOMICS AND BUSINESS</t>
  </si>
  <si>
    <t>Determination of Haematological Effects of Extracts of Reseda sphenocleoides Leaves in Albino Rats Infected with Entamoeba histolytica</t>
  </si>
  <si>
    <t>1388-0764</t>
  </si>
  <si>
    <t>Chavan, AR; Chilwar, RR; Kharat, PB; Jadhav, KM</t>
  </si>
  <si>
    <t>Effect of Annealing Temperature on Structural, Morphological, Optical and Magnetic Properties of NiFe2 O 4 Thin Films</t>
  </si>
  <si>
    <t>Mande, VK; Bhoyar, DN; Vyawahare, SK; Jadhav, KM</t>
  </si>
  <si>
    <t>CHAOS SOLITONS &amp; FRACTALS</t>
  </si>
  <si>
    <t>Effect of Zn2+-Cr3+ substitution on structural, morphological, magnetic and electrical properties of NiFe2O4 ferrite nanoparticles</t>
  </si>
  <si>
    <t>Girhe, N; Botewad, S; Pawar, P; Kadam, A</t>
  </si>
  <si>
    <t>Development of water-based CuO/GO/MWCNT ternary nanofluid and comparative study of thermal conductivity and viscosity with CuO, GO, MWCNTs mono nanofluids</t>
  </si>
  <si>
    <t>1301-9724</t>
  </si>
  <si>
    <t>INDIAN ASSOC CULTIVATION SCIENCE</t>
  </si>
  <si>
    <t>Mahadik, M; Patil, H; Bodkhe, G; Ingle, N; Sayyad, P; Al-Gahaouri, T; Shirsat, SM; Shirsat, M</t>
  </si>
  <si>
    <t>EDTA Modified PANI/GO Composite Based Detection of Hg (II) Ions</t>
  </si>
  <si>
    <t>0379-5136</t>
  </si>
  <si>
    <t>Khare, SP; Deshmukh, TR; Sangshetti, JN; Khedkar, VM; Shingate, BB</t>
  </si>
  <si>
    <t>JOURNAL OF CHEMICAL SCIENCES</t>
  </si>
  <si>
    <t>Ultrasound assisted rapid synthesis, biological evaluation, and molecular docking study of new 1,2,3-triazolyl pyrano[2,3-c]pyrazoles as antifungal and antioxidant agent</t>
  </si>
  <si>
    <t>1011-372X</t>
  </si>
  <si>
    <t>Synthesis and Characterization of Structural, Morphological and Photosensor Properties of Cu0.1Zn0.9S Thin Film Prepared by a Facile Chemical Method</t>
  </si>
  <si>
    <t>Sayyad, PW; Ingle, NN; Al-Gahouari, T; Mahadik, MM; Bodkhe, GA; Shirsat, SM; Shirsat, MD</t>
  </si>
  <si>
    <t>Sensitive and selective detection of Cu2+ and Pb2+ ions using Field Effect Transistor (FET) based on L-Cysteine anchored PEDOT:PSS/rGO composite</t>
  </si>
  <si>
    <t>0887-0624</t>
  </si>
  <si>
    <t>Pawar, UD; Pawar, CD; Kulkarni, UK; Pardeshi, RK</t>
  </si>
  <si>
    <t>Development method of high-performance thin-layer chromatographic detection of synthetic organophosphate insecticide profenofos in visceral samples</t>
  </si>
  <si>
    <t>Kamble, P; Shrigan, M; Altinkaya, S</t>
  </si>
  <si>
    <t>PROCEEDINGS OF THE 2018 SECOND INTERNATIONAL CONFERENCE ON INVENTIVE COMMUNICATION AND COMPUTATIONAL TECHNOLOGIES (ICICCT)</t>
  </si>
  <si>
    <t>On λ-pseudo q-bi-starlike functions</t>
  </si>
  <si>
    <t>0022-0248</t>
  </si>
  <si>
    <t>Tubitak Scientific &amp; Technological Research Council Turkey</t>
  </si>
  <si>
    <t>Warekar, PP; Patil, KT; Patil, PT; Sarkate, AP; Karnik, KS; Undare, SS; Kolekar, GB; Deshmukh, MB; Prabhu, S; Anbhule, PV</t>
  </si>
  <si>
    <t>Design and synthesis of some new piritrexim analogs as potential anticancer agents</t>
  </si>
  <si>
    <t>Patil, HK; Deshmukh, MA; Bodkhe, GA; Asokan, K; Shirsat, MD</t>
  </si>
  <si>
    <t>Spectroscopic Investigations Upon 100MeV Oxygen Ions Irradiation On Polyaniline And Poly-o-toluidine</t>
  </si>
  <si>
    <t>Undre, PG; Birajdar, SD; Kathare, RV; Jadhav, KM</t>
  </si>
  <si>
    <t>APPLICATIONS AND APPLIED MATHEMATICS-AN INTERNATIONAL JOURNAL</t>
  </si>
  <si>
    <t>Structural, morphological and magnetic properties of pure and Ni-doped ZnO nanoparticles synthesized by sol-gel method</t>
  </si>
  <si>
    <t>Meer, BB; Sharma, D; Tak, S; Bisen, GG; Shirsat, MD; Girija, KG; Ghosh, SS</t>
  </si>
  <si>
    <t>INFORMATION DEVELOPMENT</t>
  </si>
  <si>
    <t>Effect of thermal annealing on an emissive layer containing a blend of a small molecule and polymer as host for application in OLEDs</t>
  </si>
  <si>
    <t>2045-9831</t>
  </si>
  <si>
    <t>Kashid, BB; Kilbile, JT; Wani, KD; Pawar, SM; Khedkar, VM; Ghanwat, AA</t>
  </si>
  <si>
    <t>SPECTROCHIMICA ACTA PART A-MOLECULAR AND BIOMOLECULAR SPECTROSCOPY</t>
  </si>
  <si>
    <t>Synthesis of Novel Hydrazones of Levofloxacin Related Molecule and their In Vitro evaluation as antioxidant, and Molecular Docking Studies</t>
  </si>
  <si>
    <t>Karnik, KS; Sarkate, AP; Tiwari, SV; Azad, R; Wakte, PS</t>
  </si>
  <si>
    <t>Free energy perturbation guided Synthesis with Biological Evaluation of Substituted Quinoline derivatives as small molecule L858R/T790M/C797S mutant EGFR inhibitors targeting resistance in Non-Small Cell Lung Cancer (NSCLC)</t>
  </si>
  <si>
    <t>0928-4931</t>
  </si>
  <si>
    <t>ACADEMIC PRESS INC ELSEVIER SCIENCE</t>
  </si>
  <si>
    <t>Ingle, N; Mane, S; Sayyad, P; Bodkhe, G; AL-Gahouari, T; Mahadik, M; Shirsat, S; Shirsat, MD</t>
  </si>
  <si>
    <t>Sulfur Dioxide (SO2) Detection Using Composite of Nickel Benzene Carboxylic (Ni3BTC2) and OH-Functionalized Single Walled Carbon Nanotubes (OH-SWNTs)</t>
  </si>
  <si>
    <t>0385-5600</t>
  </si>
  <si>
    <t>Bhagwat, VR; Khedkar, MV; Kulkarni, G; Kharat, PB; Jadhav, KM</t>
  </si>
  <si>
    <t>FRONTIERS IN ARTIFICIAL INTELLIGENCE</t>
  </si>
  <si>
    <t>Dextrose Assisted Sol-gel Auto Combustion Synthesis and Magnetic Characterizations of Cobalt Ferrite Nanoparticles</t>
  </si>
  <si>
    <t>Ughade, BR; Khilare, VC; Sangale, DM; Korhale, GA; Ingle, P; Tathe, AE; Patil, R; Khedkar, GD</t>
  </si>
  <si>
    <t>E-JOURNAL OF SURFACE SCIENCE AND NANOTECHNOLOGY</t>
  </si>
  <si>
    <t>A definitive method for distinguishing cultivated onion from its weedy mimic, Asphodelus fistulosus, at multiple developmental stages</t>
  </si>
  <si>
    <t>Al-Ghamdi, NA; Almansoob, NT; Alrefaee, Y</t>
  </si>
  <si>
    <t>COMPUTATIONAL AND MATHEMATICAL METHODS IN MEDICINE</t>
  </si>
  <si>
    <t>Pragmatic Failure in the Realization of the Speech act of Responding to Compliments among Yemeni EFL Undergraduates</t>
  </si>
  <si>
    <t>PENERBIT UNIV KEBANGSAAN MALAYSIA</t>
  </si>
  <si>
    <t>Obaid, SS; Sayyed, MI; Gaikwad, DK; Pawar, PP</t>
  </si>
  <si>
    <t>Attenuation coefficients and exposure buildup factor of some rocks for gamma ray shielding applications</t>
  </si>
  <si>
    <t>Abood, NT; Sable, PB; Dharne, GM</t>
  </si>
  <si>
    <t>TRAITEMENT DU SIGNAL</t>
  </si>
  <si>
    <t>SILAR-deposited manganese doped zinc oxide thin films for NO2 gas detection applications</t>
  </si>
  <si>
    <t>Sayyad, PW; Farooqui, AA; Ingle, NN; Al-Gahouari, T; Bodkhe, GA; Mahadik, MM; Shirsat, SM; Shirsat, MD</t>
  </si>
  <si>
    <t>High carrier mobility and environmentally stable microporous zeolite imidazolate framework (ZIF-67): A field-effect transistor (FET) approach</t>
  </si>
  <si>
    <t>0920-5861</t>
  </si>
  <si>
    <t>Bardapurkar, PP; Shewale, SS; Barde, NP; Jadhav, KM</t>
  </si>
  <si>
    <t>Structural, magnetic and catalytical properties of cobalt ferrite nanoparticles dispersed in silica matrix</t>
  </si>
  <si>
    <t>IOP PUBLISHING LTD</t>
  </si>
  <si>
    <t>Pawar, UD; Pawar, CD; Kulkarni, UK; Pardeshi, RK; Shinde, DB</t>
  </si>
  <si>
    <t>Use of Cupric Ferrocyanide Reagent for the Thin-Layer Chromatographic Detection of Organophosphate insecticide Profenophos</t>
  </si>
  <si>
    <t>Hivrekar, MM; Sable, DB; Solunke, MB; Jadhav, KM</t>
  </si>
  <si>
    <t>JOURNAL OF NANOPARTICLE RESEARCH</t>
  </si>
  <si>
    <t>Different property studies with network improvement of CdO doped alkali borate glass</t>
  </si>
  <si>
    <t>Nale, AB; Chinchane, VL; Panchal, SK; Chesneau, C</t>
  </si>
  <si>
    <t>Polya-Szego Integral Inequalities Using the Caputo-Fabrizio Approach</t>
  </si>
  <si>
    <t>Behere, S; Deshmukh, B; Patil, S; Behere, SH</t>
  </si>
  <si>
    <t>Temperature of the disc integrated sunlight from the intensity measurements of rotational lines of the bands of A-X system of CH molecule</t>
  </si>
  <si>
    <t>2095-1779</t>
  </si>
  <si>
    <t>https://www.google.com/url?sa=t&amp;source=web&amp;rct=j&amp;opi=89978449&amp;url=https://nopr.niscpr.res.in/bitstream/123456789/44203/1/IJPAP%252056%25284%2529%2520294-300.pdf&amp;ved=2ahUKEwiO3Jqc29uGAxWGZvUHHZouCsAQFnoECA8QAQ&amp;usg=AOvVaw0uJINNaSvrr_Hi6MErdSoQ</t>
  </si>
  <si>
    <t>INTERNATIONAL JOURNAL OF THERMODYNAMICS</t>
  </si>
  <si>
    <t>Facile, one step synthesis of non-toxic kesterite Cu2ZnSnS4 nanoflakes thin film by chemical bath deposition for solar cell application</t>
  </si>
  <si>
    <t>INDIAN JOURNAL OF GEO-MARINE SCIENCES</t>
  </si>
  <si>
    <t>Effect of protein enrichment on quality characteristics and glycemic index of gluten free sweet potato (Ipomoea batatas L.) spaghetti</t>
  </si>
  <si>
    <t>0947-6539</t>
  </si>
  <si>
    <t>Mandle, UM; Tigote, RM; Lohar, KS; Shinde, BL</t>
  </si>
  <si>
    <t>Microstructure, magnetic properties of Ho3+ substituted Ni-Cu-Zn spinel ferrites and application for one pot synthesis of dihydropyrimidinones</t>
  </si>
  <si>
    <t>Yaseen, SA; Alameen, AS; Saif, FA; Undre, SB; Khirade, PW; Undre, PB</t>
  </si>
  <si>
    <t>Dispersion and Optical Activities of Copper (II) Metal Oxide Nanoparticles with Polyethylene Glycol in Aqueous Medium Studied with Physicochemical Properties and UV-Vis Spectrophotometry</t>
  </si>
  <si>
    <t>0038-1098</t>
  </si>
  <si>
    <t>Pawar, UD; Pawar, CD; Mavle, RR; Pardeshi, RK</t>
  </si>
  <si>
    <t>Development of a New Chromogenic Reagent for the Detection of Organophosphorus Herbicide Glyphosate in Biological Samples</t>
  </si>
  <si>
    <t>Nimbalkar, VV; Nandikar, MD; Sardesai, MM</t>
  </si>
  <si>
    <t>Revisiting the taxonomy of Abutilon australiense (Malvaceae), a little known species of peninsular India</t>
  </si>
  <si>
    <t>Kharat, PB; Somvanshi, SB; Kounsalye, JS; Deshmukh, SS; Khirade, PP; Jadhav, KM</t>
  </si>
  <si>
    <t>JOURNAL OF CRYSTAL GROWTH</t>
  </si>
  <si>
    <t>Temperature Dependent Viscosity of Cobalt Ferrite/Ethylene Glycol Ferrofluids</t>
  </si>
  <si>
    <t>Khawal, HA; Raskar, ND; Dole, BN</t>
  </si>
  <si>
    <t>Preparation and Study of Ni7+ Swift Heavy Ions Irradiation on Mn doped ZnO Thin Films</t>
  </si>
  <si>
    <t>Chinchane, VL; Nale, AB; Panchal, SK; Chesneau, C; Khandagale, AD</t>
  </si>
  <si>
    <t>On Fractional Inequalities Using Generalized Proportional Hadamard Fractional Integral Operator</t>
  </si>
  <si>
    <t>Somvanshi, SB; Kharat, PB; Jadhav, KM</t>
  </si>
  <si>
    <t>Surface Functionalized Superparamagnetic Zn-Mg Ferrite Nanoparticles for Magnetic Hyperthermia Application Towards Noninvasive Cancer Treatment</t>
  </si>
  <si>
    <t>2053-4604</t>
  </si>
  <si>
    <t>Mohammed, SMI; Gubari, GMM; Huse, NP; Dive, AS; Sharma, R</t>
  </si>
  <si>
    <t>NANOMATERIALS AND ENERGY</t>
  </si>
  <si>
    <t>Investigation of Structural, Morphological and Opto-electronic Properties of CdS Quantum Dot Thin Film</t>
  </si>
  <si>
    <t>0145-8892</t>
  </si>
  <si>
    <t>Khan, MAI; Jamil, SA; Khan, SS; Ali, MM</t>
  </si>
  <si>
    <t>Does Gender Influence Investment Choice? A Psychosomatic Study of GCC Entrepreneurs</t>
  </si>
  <si>
    <t>KOREA DISTRIBUTION SCIENCE ASSOC</t>
  </si>
  <si>
    <t>Kamble, GP; Kashale, AA; Kolekar, SS; Chen, IWP; Sathe, BR; Ghule, AV</t>
  </si>
  <si>
    <t>MATERIALS SCIENCE AND ENGINEERING C-MATERIALS FOR BIOLOGICAL APPLICATIONS</t>
  </si>
  <si>
    <t>Reflux temperature-dependent zinc cobaltite nanostructures for asymmetric supercapacitors</t>
  </si>
  <si>
    <t>Abdo, MS; Shah, K; Wahash, HA; Panchal, SK</t>
  </si>
  <si>
    <t>MICROBIOLOGY AND IMMUNOLOGY</t>
  </si>
  <si>
    <t>On a comprehensive model of the novel coronavirus (COVID-19) under Mittag-Leffler derivative</t>
  </si>
  <si>
    <t>Al Maqatari, FA; Farhan, NH; Al-httami, HM; Khalid, ASD</t>
  </si>
  <si>
    <t>Impact of country-level corporate governance on entrepreneurial conditions</t>
  </si>
  <si>
    <t>Chavan, AR; Chilwar, RR; Shisode, MV; Hivrekar, MM; Mande, VK; Jadhav, KM</t>
  </si>
  <si>
    <t>SENSORS</t>
  </si>
  <si>
    <t>Structural and Magnetic properties of Nanocrystalline NiFe2O4 Thin Film prepared by Spray Pyrolysis Technique</t>
  </si>
  <si>
    <t>0141-0229</t>
  </si>
  <si>
    <t>Nipate, AS; Jadhav, CK; Chate, AV; Dixit, PP; Sharma, P; Gill, CH</t>
  </si>
  <si>
    <t>Synthesis and Antimicrobial Activity of New Carbohydrazide Bearing Quinoline Scaffolds in Silico ADMET and Molecular Docking Studies</t>
  </si>
  <si>
    <t>0306-8919</t>
  </si>
  <si>
    <t>BIOORGANIC &amp; MEDICINAL CHEMISTRY LETTERS</t>
  </si>
  <si>
    <t>Novel CAL-B catalyzed synthetic protocols for pyridodipyrimidines and mercapto oxadiazoles</t>
  </si>
  <si>
    <t>Saif, FA; Undre, PB; Yaseen, SA; Alameen, AS; Patil, SS; Khirade, PW</t>
  </si>
  <si>
    <t>MATERIALS TODAY COMMUNICATIONS</t>
  </si>
  <si>
    <t>Hydrogen Bonding Interaction between Amide and Alcohols: Dielectric Relaxation and FTIR Study</t>
  </si>
  <si>
    <t>2040-2503</t>
  </si>
  <si>
    <t>Godse, JS; Gaikwad, SB; Bhise, VB; Gaikwad, ST; Pawar, RP; Ubale, SB</t>
  </si>
  <si>
    <t>Heterocyclic Letters</t>
  </si>
  <si>
    <t>SYNTHESIS AND COMPARATIVE STUDY OF NANO ZINC OXIDE STRUCTURES WITH AND WITHOUT CETYLTRIMETHYLAMMONIUM BROMIDE USING SOL-GEL METHOD</t>
  </si>
  <si>
    <t>0030-4026</t>
  </si>
  <si>
    <t>https://www.researchgate.net/publication/341708599_SYNTHESIS_AND_COMPARATIVE_STUDY_OF_NANO_ZINC_OXIDE_STRUCTURES_WITH_AND_WITHOUT_CETYLTRIMETHYLAMMONIUM_BROMIDE_USING_SOL-GEL_METHOD?enrichId=rgreq-39d59fd76e810c97c6ac090daa28a389-XXX&amp;enrichSource=Y292ZXJQYWdlOzM0MTcwODU5OTtBUzoxMTQzMTI4MTEyNTI2MTk3MUAxNjc4MjQwNDYxNTQ5&amp;el=1_x_3&amp;_esc=publicationCoverPdf</t>
  </si>
  <si>
    <t>Phatak, PS; Bakale, RD; Dhumal, ST; Dahiwade, LK; Choudhari, PB; Krishna, VS; Sriram, D; Haval, KP</t>
  </si>
  <si>
    <t>Synthesis, antitubercular evaluation and molecular docking studies of phthalimide bearing 1,2,3-triazoles</t>
  </si>
  <si>
    <t>Rege, MV; Abdulkareem, MB; Gaikwad, S; Gawli, BW</t>
  </si>
  <si>
    <t>2018 Second International Conference on Inventive Communication and Computational Technologies (ICICCT)</t>
  </si>
  <si>
    <t>Automatic Leukemia Identification System Using Otsu Image segmentation and MSER Approach for Microscopic Smear Image Database</t>
  </si>
  <si>
    <t>978-1-5386-1974-2</t>
  </si>
  <si>
    <t>https://doi.org/10.1109/ICICCT.2018.8473101</t>
  </si>
  <si>
    <t>Water mediated and Baker's yeast accelerated novel synthetic protocols for tetrahydrobenzo[a]xanthene-11-ones and pyrazolo[3,4-b]quinolines</t>
  </si>
  <si>
    <t>0884-2914</t>
  </si>
  <si>
    <t>Jadhav, CK; Nipate, AS; Chate, AV; Songire, VD; Patil, AP; Gill, CH</t>
  </si>
  <si>
    <t>Efficient Rapid Access to Biginelli for the Multicomponent Synthesis of 1,2,3,4-Tetrahydropyrimidines in Room-Temperature Diisopropyl Ethyl Ammonium Acetate</t>
  </si>
  <si>
    <t>0042-207X</t>
  </si>
  <si>
    <t>Dhaigude, DB; Kanade, SN; Dhaigude, CD</t>
  </si>
  <si>
    <t>Applications and Applied Mathematics: An International Journal (AAM)</t>
  </si>
  <si>
    <t>Solution for System Of Fractional Partial Differential Equations</t>
  </si>
  <si>
    <t>PRAIRIE VIEW A &amp; M UNIV, DEPT MATHEMATICS</t>
  </si>
  <si>
    <t>https://digitalcommons.pvamu.edu/aam/vol13/iss1/18?utm_source=digitalcommons.pvamu.edu%2Faam%2Fvol13%2Fiss1%2F18&amp;utm_medium=PDF&amp;utm_campaign=PDFCoverPages</t>
  </si>
  <si>
    <t>Deshmukh, SD; Pattebahadur, KL; Mohod, AG; Undre, PB; Patil, SS; Khirade, PW</t>
  </si>
  <si>
    <t>Dielectric and Spectroscopic Study of Binary Mixture of Acrylonitrile with Chlorobenzene</t>
  </si>
  <si>
    <t>Al-Hattami, HM; Kabra, JD</t>
  </si>
  <si>
    <t>CHEMISTRY-A EUROPEAN JOURNAL</t>
  </si>
  <si>
    <t>The influence of accounting information system on management control effectiveness: The perspective of SMEs in Yemen</t>
  </si>
  <si>
    <t>SAGE PUBLICATIONS LTD</t>
  </si>
  <si>
    <t>Saif, FA; Yaseen, SA; Alameen, AS; Mane, SB; Undre, PB</t>
  </si>
  <si>
    <t>Identification and characterization of Aspergillus species of fruit rot fungi using microscopy, FT-IR, Raman and UV-Vis spectroscopy</t>
  </si>
  <si>
    <t>Vibhute, AD; Kale, KV; Gaikwad, SV; Dhumal, RK; Nagne, AD; Varpe, AB; Nalawade, DB; Mehrotra, SC</t>
  </si>
  <si>
    <t>SOLID STATE COMMUNICATIONS</t>
  </si>
  <si>
    <t>Classification of complex environments using pixel level fusion of satellite data</t>
  </si>
  <si>
    <t>Shaikh, MH; Subhedar, DD; Akolkar, SV; Nagargoje, AA; Asrondkar, A; Khedkar, VM; Shingate, BB</t>
  </si>
  <si>
    <t>New 1,2,3-Triazole-Tethered Thiazolidinedione Derivatives: Synthesis, Bioevaluation and Molecular Docking Study</t>
  </si>
  <si>
    <t>Alshari, EA; Abdulkareem, MB; Gawali, BW</t>
  </si>
  <si>
    <t>Classification of land use/land cover using artificial intelligence (ANN-RF)</t>
  </si>
  <si>
    <t>Abood, NT; Sable, PB; Yassen, J; Dharne, GM</t>
  </si>
  <si>
    <t>Effect of Mg Doping on the Structural, Optical and NO2-sensing Properties of ZnO Thin Films Prepared by Modified SILAR Method</t>
  </si>
  <si>
    <t>SURFACE SCI SOC JAPAN</t>
  </si>
  <si>
    <t>Senan, EM; Abunadi, I; Jadhav, ME; Fati, SM</t>
  </si>
  <si>
    <t>Score and Correlation Coefficient-Based Feature Selection for Predicting Heart Failure Diagnosis by Using Machine Learning Algorithms</t>
  </si>
  <si>
    <t>0001-527X</t>
  </si>
  <si>
    <t>FRACTAL AND FRACTIONAL</t>
  </si>
  <si>
    <t>Existence and Ulam-Hyers stability results of a coupled system of ψ-Hilfer sequential fractional differential equations</t>
  </si>
  <si>
    <t>Patil, SV; Kshirsagar, A; Andhare, DD; Patade, SR; Kulkarni, GD; Jadhav, KM</t>
  </si>
  <si>
    <t>JOURNAL OF ENTREPRENEURSHIP IN EMERGING ECONOMIES</t>
  </si>
  <si>
    <t>Synthesis of Nanocrystalline Nickel Ferrite through Soft Chemistry Method: a Green Chemistry Approach using Ginger Extract</t>
  </si>
  <si>
    <t>Pattebahadur, KL; Deshmukh, SD; Mohod, AG; Undre, PB; Patil, SS; Khirade, PW</t>
  </si>
  <si>
    <t>JOURNAL OF FOOD PROCESSING AND PRESERVATION</t>
  </si>
  <si>
    <t>Dielectric and Conformational studies of hydrogen bonded 2-ethoxyethanol and ethyl methyl ketone system</t>
  </si>
  <si>
    <t>1434-6060</t>
  </si>
  <si>
    <t>Gaikwad, VP; Musande, V</t>
  </si>
  <si>
    <t>Advanced Prediction of Crop Diseases Using Cetalatran-Optimized Deep KNN in Multispectral Imaging</t>
  </si>
  <si>
    <t>0956-7135</t>
  </si>
  <si>
    <t>INT INFORMATION &amp; ENGINEERING TECHNOLOGY ASSOC</t>
  </si>
  <si>
    <t>Fati, SM; Senan, EM; ElHakim, N</t>
  </si>
  <si>
    <t>Deep and Hybrid Learning Technique for Early Detection of Tuberculosis Based on X-ray Images Using Feature Fusion</t>
  </si>
  <si>
    <t>1526-1492</t>
  </si>
  <si>
    <t>Navarkhele, AV; Sakhare, RS; Vijayendraswamy, SM; Navarkhele, VV</t>
  </si>
  <si>
    <t>Dielectric Constant, Density, and Refractive Index in Binary Mixtures of Ethanol with N,N-Dimethylformamide at 293.15 K</t>
  </si>
  <si>
    <t>Mandle, UM; Dhale, LA; Tigote, RM; Lohar, KS; Shinde, BL</t>
  </si>
  <si>
    <t>Synthesis, microstructure and magnetic properties of Co2+ and Al3+ substituted La-Zn nano ferrites</t>
  </si>
  <si>
    <t>Kutwade, VV; Gattu, KP; Sonawane, ME; Tonpe, DA; Mishra, MK; Sharma, R</t>
  </si>
  <si>
    <t>ENZYME AND MICROBIAL TECHNOLOGY</t>
  </si>
  <si>
    <t>Contribution in PCE enhancement: numerical designing and optimization of SnS thin film solar cell</t>
  </si>
  <si>
    <t>Mohod, AG; Deshmukh, SD; Pattebahadur, KL; Undre, PB; Patil, SS; Khirade, PW</t>
  </si>
  <si>
    <t>OPTICAL AND QUANTUM ELECTRONICS</t>
  </si>
  <si>
    <t>Dielectric and Physiochemical Study of Binary Mixture of Nitrobenzene with Toluene</t>
  </si>
  <si>
    <t>1687-9805</t>
  </si>
  <si>
    <t>Bhandari, SV; Nagras, OG; Kuthe, PV; Sarkate, AP; Waghamare, KS; Pansare, DN; Chaudhari, SY; Mawale, SN; Belwate, MC</t>
  </si>
  <si>
    <t>Design, Synthesis, Molecular Docking and Antioxidant Evaluation of Benzimidazole-1,3,4 oxadiazole Derivatives</t>
  </si>
  <si>
    <t>Fati, SM; Senan, EM; Javed, Y</t>
  </si>
  <si>
    <t>MEDCHEMCOMM</t>
  </si>
  <si>
    <t>Early Diagnosis of Oral Squamous Cell Carcinoma Based on Histopathological Images Using Deep and Hybrid Learning Approaches</t>
  </si>
  <si>
    <t>1687-1847</t>
  </si>
  <si>
    <t>Navarkhele, AV; Navarkhele, VV</t>
  </si>
  <si>
    <t>OPTIK</t>
  </si>
  <si>
    <t>Static Dielectric Constants, Densities, Refractive Indices and Related Properties of Binary Mixtures at Various Temperatures Under Atmospheric Pressure</t>
  </si>
  <si>
    <t>INT CENTER APPLIED THERMODYNAMICS</t>
  </si>
  <si>
    <t>Shende, KV; Kumar, MRR; Kale, KV</t>
  </si>
  <si>
    <t>Indian Journal of Geo-Marine Sciences</t>
  </si>
  <si>
    <t>Ocean atmospheric processes over Bay of Bengal during two contrasting northeast monsoon onsets</t>
  </si>
  <si>
    <t>2582-6727</t>
  </si>
  <si>
    <t>https://drs.nio.res.in/drs/handle/2264/8383?show=full</t>
  </si>
  <si>
    <t>Akolkar, SV; Kharat, ND; Nagargoje, AA; Subhedar, DD; Shingate, BB</t>
  </si>
  <si>
    <t>Ultrasound-Assisted β-Cyclodextrin Catalyzed One-Pot Cascade Synthesis of Pyrazolopyranopyrimidines in Water</t>
  </si>
  <si>
    <t>0019-5588</t>
  </si>
  <si>
    <t>Khare, SP; Deshmukh, TR; Akolkar, SV; Sangshetti, JN; Khedkar, VM; Shingate, BB</t>
  </si>
  <si>
    <t>JOURNAL OF MATERIALS RESEARCH</t>
  </si>
  <si>
    <t>New 1,2,3-triazole-linked tetrahydrobenzo[b]pyran derivatives: Facile synthesis, biological evaluation and molecular docking study</t>
  </si>
  <si>
    <t>Sanke, DM; Munde, AV; Bezboruah, J; Bhattad, PT; Sathe, BR; Zade, SS</t>
  </si>
  <si>
    <t>VACUUM</t>
  </si>
  <si>
    <t>Highly Dispersed Core-Shell Ni@NiO Nanoparticles Embedded on Carbon-Nitrogen Nanotubes as Efficient Electrocatalysts for Enhancing Urea Oxidation Reaction</t>
  </si>
  <si>
    <t>0218-625X</t>
  </si>
  <si>
    <t>Karnik, KS; Sarkate, AP; Tiwari, S; Azad, R; Wakte, PS</t>
  </si>
  <si>
    <t>JOURNAL OF FUNCTION SPACES</t>
  </si>
  <si>
    <t>Design, synthesis, biological evaluation and in silico studies of EGFR inhibitors based on 4-oxo-chromane scaffold targeting resistance in non-small cell lung cancer (NSCLC)</t>
  </si>
  <si>
    <t>More, SP; Jadhav, SA; Patade, SR; Gopale, SB; Topare, RJ; Jadhav, KM</t>
  </si>
  <si>
    <t>Phase transformation, morphology, DC electrical resistivity and dielectric properties investigations of properties of manganese doped barium titanate nanoparticles</t>
  </si>
  <si>
    <t>0036-0236</t>
  </si>
  <si>
    <t>Abunadi, I; Senan, EM</t>
  </si>
  <si>
    <t>Deep Learning and Machine Learning Techniques of Diagnosis Dermoscopy Images for Early Detection of Skin Diseases</t>
  </si>
  <si>
    <t>2331-1886</t>
  </si>
  <si>
    <t>Sarkate, AP; Gavane, DS; Kale, BD; Karnik, KS; Narula, IS; Khandare, AL; Rajhans, AP; Jambhorkar, VS</t>
  </si>
  <si>
    <t>Microwave-Assisted Copper Slag-Catalyzed GreenS-Arylation of Arenethiols with Arylboronic Acids</t>
  </si>
  <si>
    <t>Karnik, KS; Sarkate, AP; Lokwani, DK; Narula, IS; Burra, PVLS; Wakte, PS</t>
  </si>
  <si>
    <t>MOLECULES</t>
  </si>
  <si>
    <t>Development of triple mutant T790M/C797S allosteric EGFR inhibitors: a computational approach</t>
  </si>
  <si>
    <t>Patade, SR; Andhare, DD; Somvanshi, SB; Kharat, PB; More, SD; Jadhav, KM</t>
  </si>
  <si>
    <t>Preparation and characterisations of magnetic nanofluid of zinc ferrite for hyperthermia</t>
  </si>
  <si>
    <t>1533-4880</t>
  </si>
  <si>
    <t>ICE PUBLISHING</t>
  </si>
  <si>
    <t>Deshmukh, SD; Pattebahadur, KL; Mohod, AG; Patil, SS; Khirade, PW</t>
  </si>
  <si>
    <t>INDIAHCI'18: PROCEEDINGS OF THE 9TH INDIAN CONFERENCE ON HUMAN COMPUTER INTERACTION</t>
  </si>
  <si>
    <t>Structural and dynamics study of polar liquid mixtures by dielectric and FTIR spectroscopic characterizations</t>
  </si>
  <si>
    <t>0717-9707</t>
  </si>
  <si>
    <t>Rajegaonkar, PS; Deshpande, BA; More, MS; Waghmare, SS; Sangawe, VV; Inamdar, A; Shirsat, MD; Adhapure, NN</t>
  </si>
  <si>
    <t>Catalytic reduction of p-nitrophenol and methylene blue by microbiologically synthesized silver nanoparticles</t>
  </si>
  <si>
    <t>Vaidya, SR; Hamde, VS; Kumbhar, NS; Walimbe, AM</t>
  </si>
  <si>
    <t>Utility of neutralization test for laboratory diagnosis of suspected mumps</t>
  </si>
  <si>
    <t>Desai, N; Monapara, J; Jethawa, A; Khedkar, V; Shingate, B</t>
  </si>
  <si>
    <t>ACTA BIOCHIMICA POLONICA</t>
  </si>
  <si>
    <t>Oxadiazole: A highly versatile scaffold in drug discovery</t>
  </si>
  <si>
    <t>Multi-Method Diagnosis of Blood Microscopic Sample for Early Detection of Acute Lymphoblastic Leukemia Based on Deep Learning and Hybrid Techniques</t>
  </si>
  <si>
    <t>Dhumal, ST; Deshmukh, AR; Kharat, KR; Sathe, BR; Chavan, SS; Mane, RA</t>
  </si>
  <si>
    <t>Copper fluorapatite assisted synthesis of new 1,2,3-triazoles bearing a benzothiazolyl moiety and their antibacterial and anticancer activities</t>
  </si>
  <si>
    <t>1898-0309</t>
  </si>
  <si>
    <t>Bakale, RD; Sulakhe, SM; Kasare, SL; Sathe, BP; Rathod, SS; Choudhari, PB; Rekha, EM; Sriram, D; Haval, KP</t>
  </si>
  <si>
    <t>EUROPEAN PHYSICAL JOURNAL D</t>
  </si>
  <si>
    <t>Design, synthesis and antitubercular assessment of 1, 2, 3-triazole incorporated thiazolylcarboxylate derivatives</t>
  </si>
  <si>
    <t>Kutwade, VV; Gattu, KP; Sonawane, ME; Tonpe, DA; Mohammed, IMS; Sharma, R</t>
  </si>
  <si>
    <t>FOOD CONTROL</t>
  </si>
  <si>
    <t>Theoretical modeling and optimization: Cd-free CTS/Zn(O,S)/ZnO thin film solar cell</t>
  </si>
  <si>
    <t>Mulik, BB; Munde, AV; Bankar, BD; Biradar, AV; Sathe, BR</t>
  </si>
  <si>
    <t>CMES-COMPUTER MODELING IN ENGINEERING &amp; SCIENCES</t>
  </si>
  <si>
    <t>Highly efficient manganese oxide decorated graphitic carbon nitrite electrocatalyst for reduction of CO2 to formate</t>
  </si>
  <si>
    <t>1040-8347</t>
  </si>
  <si>
    <t>Chate, AV; Tagad, PA; Bondle, GM; Sarkate, AP; Tiwari, SV; Azad, R</t>
  </si>
  <si>
    <t>PROCESSES</t>
  </si>
  <si>
    <t>Design, Synthesis and Biological Evaluation of Tetrahydrodibenzo[b,g][1,8]napthyridinones as Potential Anticancer Agents and Novel Aurora Kinases Inhibitors</t>
  </si>
  <si>
    <t>Selective Hg2+ sensor: rGO-blended PEDOT:PSS conducting polymer OFET</t>
  </si>
  <si>
    <t>0304-4289</t>
  </si>
  <si>
    <t>Ingle, N; Sayyad, P; Bodkhe, G; Mahadik, M; AL-Gahouari, T; Shirsat, S; Shirsat, MD</t>
  </si>
  <si>
    <t>ChemFET Sensor: nanorods of nickel-substituted Metal-Organic framework for detection of SO2</t>
  </si>
  <si>
    <t>Andhare, DD; Patade, SR; Kounsalye, JS; Jadhav, KM</t>
  </si>
  <si>
    <t>JOURNAL OF ENVIRONMENTAL AND PUBLIC HEALTH</t>
  </si>
  <si>
    <t>Effect of Zn doping on structural, magnetic and optical properties of cobalt ferrite nanoparticles synthesized via. Co-precipitation method</t>
  </si>
  <si>
    <t>Amlekar, MM; Ali, MMH; Gaikwad, AT</t>
  </si>
  <si>
    <t>Classification of Plants Using Invariant Features and a Neural Network</t>
  </si>
  <si>
    <t>1753-6715</t>
  </si>
  <si>
    <t>Rakibe, U; Tiwari, R; Mahajan, A; Rane, V; Wakte, P</t>
  </si>
  <si>
    <t>ADVANCES IN DIFFERENCE EQUATIONS</t>
  </si>
  <si>
    <t>LC and LC-MS/MS studies for the identification and characterization of degradation products of acebutolol</t>
  </si>
  <si>
    <t>Badar, AD; Sulakhe, SM; Muluk, MB; Rehman, NNMA; Dixit, PP; Choudhari, PB; Rekha, EM; Sriram, D; Haval, KP</t>
  </si>
  <si>
    <t>Synthesis of isoniazid-1,2,3-triazole conjugates: Antitubercular, antimicrobial evaluation and molecular docking study</t>
  </si>
  <si>
    <t>2211-7156</t>
  </si>
  <si>
    <t>Mulik, BB; Bankar, BD; Munde, AV; Biradar, AV; Sathe, BR</t>
  </si>
  <si>
    <t>Bismuth-Oxide-Decorated Graphene Oxide Hybrids for Catalytic and Electrocatalytic Reduction of CO2</t>
  </si>
  <si>
    <t>Undre, PG; Kharat, PB; Kathare, RV; Jadhav, KM</t>
  </si>
  <si>
    <t>INDIAN JOURNAL OF PURE &amp; APPLIED MATHEMATICS</t>
  </si>
  <si>
    <t>Ferromagnetism in Cu2+ doped ZnO nanoparticles and their physical properties</t>
  </si>
  <si>
    <t>Synthesis and Photosensor study of as-grown CuZnO Thin Film by Facile Chemical Bath Deposition</t>
  </si>
  <si>
    <t>Bajaj, S; Andhare, DD; Jadhav, SA; Shinde, S</t>
  </si>
  <si>
    <t>SURFACE REVIEW AND LETTERS</t>
  </si>
  <si>
    <t>Low temperature synthesis of In doped cobalt ferrite and investigations of structural, magnetic and dielectric properties</t>
  </si>
  <si>
    <t>Jadhav, CK; Nipate, AS; Chate, AV; Patil, AP; Gill, CH</t>
  </si>
  <si>
    <t>Ionic liquid catalyzed one-pot multi-component synthesis of fusedpyridine derivatives:A strategyfor green and sustainable chemistry</t>
  </si>
  <si>
    <t>0921-5107</t>
  </si>
  <si>
    <t>Deshmukh, AR; Dhumal, ST; Nawale, LU; Khedkar, VM; Sarkar, D; Mane, RA</t>
  </si>
  <si>
    <t>RUSSIAN JOURNAL OF INORGANIC CHEMISTRY</t>
  </si>
  <si>
    <t>Dicationic liquid mediated synthesis of tetrazoloquinolinyl methoxy phenyl 4-thiazolidinones and their antibacterial and antitubercular evaluation</t>
  </si>
  <si>
    <t>Mande, VK; Kounsalye, JS; Vyawahare, SK; Jadhav, KM</t>
  </si>
  <si>
    <t>COGENT SOCIAL SCIENCES</t>
  </si>
  <si>
    <t>Effect of -radiation on structural, morphological, magnetic and dielectric properties of Zn-Cr substituted nickel ferrite nanoparticles</t>
  </si>
  <si>
    <t>1011-3924</t>
  </si>
  <si>
    <t>Nipate, AS; Jadhav, CK; Chate, AV; Dofe, VS; Dixit, PP; Sharma, P; Gill, CH</t>
  </si>
  <si>
    <t>Synthesis, Antimicrobial Evaluation, and Docking Studies of Substituted New Chromone Linked 1,2,3-Triazoles</t>
  </si>
  <si>
    <t>Certain Weighted Fractional Inequalities via the Caputo-Fabrizio Approach</t>
  </si>
  <si>
    <t>2331-186X</t>
  </si>
  <si>
    <t>Al-Hakimi, MA; Saleh, MH; Borade, DB; Hasan, MB; Sharma, D</t>
  </si>
  <si>
    <t>JOURNAL OF NANOSCIENCE AND NANOTECHNOLOGY</t>
  </si>
  <si>
    <t>Competitor orientation and SME performance in competitive environments: the moderating effect of marketing ethics</t>
  </si>
  <si>
    <t>JOURNAL OF THE CHILEAN CHEMICAL SOCIETY</t>
  </si>
  <si>
    <t>Effects of incorporation of orange-fleshed sweet potato flour on physicochemical, nutritional, functional, microbial, and sensory characteristics of gluten-free cookies</t>
  </si>
  <si>
    <t>0969-8043</t>
  </si>
  <si>
    <t>Bobade, DS; Undre, PB</t>
  </si>
  <si>
    <t>Synthesis and Luminescence Properties of Eu3+ Doped Sr2SiO4 Phosphor</t>
  </si>
  <si>
    <t>Chate, AV; Dongre, RM; Khaire, MK; Bondle, GM; Sangshetti, JN; Damale, M</t>
  </si>
  <si>
    <t>-CD-catalyzed multicomponent domino reaction: synthesis, characterization, in silico molecular docking and biological evaluation of pyrano[2,3-d]-pyrimidinone derivatives</t>
  </si>
  <si>
    <t>Humbe, AV; Kharat, PB; Nawle, AC; Jadhav, KM</t>
  </si>
  <si>
    <t>Nanocrystalline Ni0.70-xCuxZn0.30Fe2O4 with 0 ≤ x ≤ 0.25 prepared by nitrate-citrate route: structure, morphology and electrical investigations</t>
  </si>
  <si>
    <t>Investigation of Intermolecular Interaction of Binary Mixture of Acrylonitrile with Bromobenzene</t>
  </si>
  <si>
    <t>POLISH JOURNAL OF MEDICAL PHYSICS AND ENGINEERING</t>
  </si>
  <si>
    <t>Structural and Optoelectronic Studies on Ag-CdS quantum dots</t>
  </si>
  <si>
    <t>Bhosle, MR; Palke, A; Bondle, GM; Sarkate, AP; Azad, R; Burra, PVLS</t>
  </si>
  <si>
    <t>Efficient Synthesis of Densely Functionalized Pyrido[2,3-d]Pyrimidines via Three-component One-pot Domino Knoevenagel aza-Diels Alder Reaction and Induces Apoptosis in Human Cancer Cell Lines via Inhibiting Aurora A and B Kinases</t>
  </si>
  <si>
    <t>Wadhwani, SA; Shedbalkar, UU; Singh, R; Chopade, BA</t>
  </si>
  <si>
    <t>Biosynthesis of gold and selenium nanoparticles by purified protein from Acinetobacter sp SW 30</t>
  </si>
  <si>
    <t>0925-8388</t>
  </si>
  <si>
    <t>Pagare, RA; Mishra, A; Kumar, S</t>
  </si>
  <si>
    <t>CRITICAL REVIEWS IN ANALYTICAL CHEMISTRY</t>
  </si>
  <si>
    <t>Impairment strained analytical modeling evaluation and cross-talk analysis of symmetric and coexistent channels for extended class-1 NG-PON2 access network</t>
  </si>
  <si>
    <t>Patil, PD; Jadhav, SA; Raut, A; Saraf, T; Kavade, RB</t>
  </si>
  <si>
    <t>Morphology, structural, optical, magnetic, and photocatalytic properties of Co1-xZnxFe2-yCeyO4 NPs</t>
  </si>
  <si>
    <t>Danne, AB; Choudhari, AS; Chakraborty, S; Sarkar, D; Khedkar, VM; Shingate, BB</t>
  </si>
  <si>
    <t>PRAMANA-JOURNAL OF PHYSICS</t>
  </si>
  <si>
    <t>Triazole-diindolylmethane conjugates as new antitubercular agents: synthesis, bioevaluation, and molecular docking</t>
  </si>
  <si>
    <t>Hiyrekar, MM; Bhoyar, DN; Mande, VK; Dhole, VV; Solunke, MB; Jadhav, KM</t>
  </si>
  <si>
    <t>Effect of RE (Nd3+, Sm3+) Oxide on Structural, Optical Properties of Na2O-Li2O-ZnO-B2O3 Glass System</t>
  </si>
  <si>
    <t>Analytical modeling and impact analysis on multichannel symmetric optical and wireless NG-PON2 networks of CD, SPM, XPM and FWM impairments</t>
  </si>
  <si>
    <t>2352-3409</t>
  </si>
  <si>
    <t>Issa, MSB; Hamoud, AA; Ghadle, KP</t>
  </si>
  <si>
    <t>INTERNATIONAL JOURNAL OF MANAGERIAL AND FINANCIAL ACCOUNTING</t>
  </si>
  <si>
    <t>Numerical solutions of fuzzy integro-differential equations of the second kind</t>
  </si>
  <si>
    <t>Patil, AE; Deosarkar, DB; Khatri, N; Ubale, AB</t>
  </si>
  <si>
    <t>A comprehensive investigation of Genotype-Environment interaction effects on seed cotton yield contributing traits in Gossypium hirsutum L. Using multivariate analysis and artificial neural network</t>
  </si>
  <si>
    <t>Sambare, AA; Datta, KP; Shirsat, MD; Pawar, RS</t>
  </si>
  <si>
    <t>RESULTS IN CHEMISTRY</t>
  </si>
  <si>
    <t>Adsorption of gas molecules (CO, CO2, NO, NO2, and CH4) on undoped and Ag-doped bismuth ferrite oxide (BFO) by DFT investigation</t>
  </si>
  <si>
    <t>Vignesh, S; Jappes, JTW; Nagaveena, S; Sharma, RK; Khan, MA; More, CV</t>
  </si>
  <si>
    <t>Preparation of novel in-situ layered B4C and PbO reinforced solution casted layered polymer composites (SCLPC) for augmenting the gamma irradiation shielding capability</t>
  </si>
  <si>
    <t>Jeelani, MB; Alnahdi, AS; Almalahi, MA; Abdo, MS; Wahash, HA; Alharthi, NH</t>
  </si>
  <si>
    <t>Qualitative Analyses of Fractional Integrodifferential Equations with a Variable Order under the Mittag-Leffler Power Law</t>
  </si>
  <si>
    <t>2352-1864</t>
  </si>
  <si>
    <t>Chavan, AR; Babrekar, MK; Nawle, AC; Jadhav, KM</t>
  </si>
  <si>
    <t>Impact of Trivalent Metal Ion Doping on Structural, Photoluminescence and Electric Properties of NiFe2O4 Thin Films</t>
  </si>
  <si>
    <t>Datta, K; Rushi, A; Ghosh, P; Shirsat, M</t>
  </si>
  <si>
    <t>Comparative VOCs Sensing Performance for Conducting Polymer and Porphyrin Functionalized Carbon Nanotubes based Sensors</t>
  </si>
  <si>
    <t>Kutwade, VV; Gattu, KP; Khan, F; Gajbar, P; Shaikh, S; Sharma, R</t>
  </si>
  <si>
    <t>MATERIALS SCIENCE AND ENGINEERING B-ADVANCED FUNCTIONAL SOLID-STATE MATERIALS</t>
  </si>
  <si>
    <t>Exploration of ZnMgS loaded with biosynthesized TiO2 as an efficient photocatalyst for solar energy mediated MB degradation</t>
  </si>
  <si>
    <t>0021-8995</t>
  </si>
  <si>
    <t>Synthesis, Characterization and Hyperthermic Evaluation of PEGylated Superparamagnetic MnFe2O4 Ferrite Nanoparticles for Cancer Therapeutics Applications</t>
  </si>
  <si>
    <t>Lokwani, DK; Sarkate, AP; Karnik, KS; Nikalje, APG; Seijas, JA</t>
  </si>
  <si>
    <t>BULLETIN OF THE CHEMICAL SOCIETY OF ETHIOPIA</t>
  </si>
  <si>
    <t>Structure-Based Site of Metabolism (SOM) Prediction of Ligand for CYP3A4 Enzyme: Comparison of Glide XP and Induced Fit Docking (IFD)</t>
  </si>
  <si>
    <t>1364-5072</t>
  </si>
  <si>
    <t>Jamale, DK; Undare, SS; Valekar, NJ; Sarkate, AP; Kolekar, GB; Anbhule, PV</t>
  </si>
  <si>
    <t>Glycerol Mediated Synthesis, Biological Evaluation, and Molecular Docking Study of 4-(1H-pyrazol-4-yl)-polyhydroquinolines as Potent Antitubercular Agents</t>
  </si>
  <si>
    <t>Padhi, DR; Joshi, A; Shrivastava, A; Tulaskar, R</t>
  </si>
  <si>
    <t>COGENT EDUCATION</t>
  </si>
  <si>
    <t>Hierarchy or List? Comparing Menu Navigation by Emergent Users</t>
  </si>
  <si>
    <t>1042-7147</t>
  </si>
  <si>
    <t>ASSOC COMPUTING MACHINERY</t>
  </si>
  <si>
    <t>Kharat, PB; Somvanshi, SB; Khirade, PP; Jadhav, KM</t>
  </si>
  <si>
    <t>Induction Heating Analysis of Surface-Functionalized Nanoscale CoFe2O4 for Magnetic Fluid Hyperthermia toward Noninvasive Cancer Treatment</t>
  </si>
  <si>
    <t>Kardile, HJ; Somvanshi, SB; Chavan, AR; Pandit, AA; Jadhav, KM</t>
  </si>
  <si>
    <t>APPLIED RADIATION AND ISOTOPES</t>
  </si>
  <si>
    <t>Effect of Cd2+ doping on structural, morphological, optical, magnetic and wettability properties of nickel ferrite thin films</t>
  </si>
  <si>
    <t>2241-4487</t>
  </si>
  <si>
    <t>Kharat, AA; Makwana, N; Kadam, DG; Chavan, AS; Kulkarni, JA; Kharat, AS</t>
  </si>
  <si>
    <t>Co-existence of Extended Spectrum β-Lactamase and carbapenemase-producing genes from Diarrheagenic Enteric pathogens isolated in a tertiary care hospital (Jan 25, 10.18388/abp.2020_6188, 2023)</t>
  </si>
  <si>
    <t>AL-Gahouari, T; Sayyad, P; Bodkhe, G; Ingle, N; Mahadik, M; Shirsat, S; Shirsat, M</t>
  </si>
  <si>
    <t>Controlling reduction degree of graphene oxide-based electrode for improving the sensing performance toward heavy metal ions</t>
  </si>
  <si>
    <t>1939-0114</t>
  </si>
  <si>
    <t>Disale, AS; Undre, PB; Yaseen, SA; Saif, FA; Alameen, AS; Patil, SS; Khirade, PW</t>
  </si>
  <si>
    <t>Dielectric Relaxation and FTIR Studies on Molecular Interaction between Ethylene Glycol Monobutyl Ether with Bromobenzene and Chlorobenzene</t>
  </si>
  <si>
    <t>2049-6427</t>
  </si>
  <si>
    <t>Behere, SS; Mhaske, NH; Londhe, CT</t>
  </si>
  <si>
    <t>Measurement of rotational temperature of AlO molecule from Fourier transform spectrum of the 0-0 band of B2Σ+-X2Σ+ band system</t>
  </si>
  <si>
    <t>Ahmed, N; Sangale, D; Tiknaik, A; Prakash, B; Hange, R; Sanil, R; Khan, S; Khedkar, G</t>
  </si>
  <si>
    <t>Authentication of origin of meat species processed under various Indian culinary procedures using DNA barcoding</t>
  </si>
  <si>
    <t>0972-5938</t>
  </si>
  <si>
    <t>Alnahdi, AS; Jeelani, MB; Wahash, HA; Abdulwasaa, MA</t>
  </si>
  <si>
    <t>A Detailed Mathematical Analysis of the Vaccination Model for COVID-19</t>
  </si>
  <si>
    <t>TECH SCIENCE PRESS</t>
  </si>
  <si>
    <t>Mohammed, BA; Senan, EM; Alshammari, TS; Alreshidi, A; Alayba, AM; Alazmi, M; Alsagri, AN</t>
  </si>
  <si>
    <t>JOURNAL OF ALLOYS AND COMPOUNDS</t>
  </si>
  <si>
    <t>Hybrid Techniques of Analyzing MRI Images for Early Diagnosis of Brain Tumours Based on Hybrid Features</t>
  </si>
  <si>
    <t>Maharolkar, AP; Murugkar, AG; Khirade, PW; Mehrota, SC</t>
  </si>
  <si>
    <t>DATA</t>
  </si>
  <si>
    <t>Study of Dielectric and Acoustic Properties of Binary Liquid Mixtures of Cyclohexane with n-Butanol at 308 K</t>
  </si>
  <si>
    <t>0885-4513</t>
  </si>
  <si>
    <t>Bhoyar, DN; Somvanshi, SB; Kharat, PB; Pandit, AA; Jadhav, KM</t>
  </si>
  <si>
    <t>Structural, infrared, magnetic and ferroelectric properties of Sr0.5Ba0.5Ti1-xFexO3 nanoceramics: Modifications via trivalent Fe ion doping</t>
  </si>
  <si>
    <t>Parte, SG; Kharat, AS</t>
  </si>
  <si>
    <t>Aerobic Degradation of Clothianidin to 2-Chloro-methyl Thiazole and Methyl 3-(Thiazole-yl) Methyl Guanidine Produced by Pseudomonas stutzeri smk</t>
  </si>
  <si>
    <t>2313-626X</t>
  </si>
  <si>
    <t>Patil, BA; Kounsalye, JS; Humbe, AV; Kokate, RD</t>
  </si>
  <si>
    <t>Structural, magnetic, dielectric and hyperfine interaction studies of titanium (Ti4+)-substituted nickel ferrite (Ni1+xTixFe2-2xO4) nanoparticles</t>
  </si>
  <si>
    <t>Abdo, MS; Shah, K; Panchal, SK; Wahash, HA</t>
  </si>
  <si>
    <t>DATA IN BRIEF</t>
  </si>
  <si>
    <t>Existence and Ulam stability results of a coupled system for terminal value problems involvingψ-Hilfer fractional operator</t>
  </si>
  <si>
    <t>0022-4766</t>
  </si>
  <si>
    <t>Somvanshi, SB; Jadhav, SA; Khedkar, MV; Kharat, PB; More, SD; Jadhav, KM</t>
  </si>
  <si>
    <t>Structural, thermal, spectral, optical and surface analysis of rare earth metal ion (Gd3+) doped mixed Zn-Mg nano-spinel ferrites</t>
  </si>
  <si>
    <t>Londhe, CT; Betkar, MM; Undre, PB</t>
  </si>
  <si>
    <t>Morphological Studies on of Chemically Deposited EuX Thin Films</t>
  </si>
  <si>
    <t>1674-4527</t>
  </si>
  <si>
    <t>Kharat, VV; Dhaigude, DB; Hasabe, DR</t>
  </si>
  <si>
    <t>NONLINEAR MIXED FRACTIONAL INTEGRODIFFERENTIAL INCLUSION WITH FOUR-POINT NONLOCAL RIEMANN-LIOUVILLE INTEGRAL BOUNDARY CONDITIONS</t>
  </si>
  <si>
    <t>INDIAN NAT SCI ACAD</t>
  </si>
  <si>
    <t>Jadhavpatil, V; Undre, P; Helambe, S</t>
  </si>
  <si>
    <t>Dielectric Relaxation in Water-Ethanolamine Mixtures as a Function of Composition and Temperature</t>
  </si>
  <si>
    <t>Kulkarni, SS; Hussaini, SS; Bodkhe, GA; Shirsat, MD</t>
  </si>
  <si>
    <t>ENVIRONMENTAL TECHNOLOGY &amp; INNOVATION</t>
  </si>
  <si>
    <t>NATURAL HIBISCUS DYE AND SYNTHETIC ORGANIC EOSIN Y DYE SENSITIZED SOLAR CELLS USING TITANIUM DIOXIDE NANOPARTICLES PHOTO ANODE: COMPARATIVE STUDY</t>
  </si>
  <si>
    <t>Ganure, KA; Shinde, BL; Mandle, UM; Dhale, LA; Tigote, RM; Lohar, KS</t>
  </si>
  <si>
    <t>Synthesis, structural and magnetic properties of Ni2+ and In3+ doped cobalt ferrite and application as catalyst for synthesis of Bis-(Indolyl) methane derivatives</t>
  </si>
  <si>
    <t>Omar, ZT; Jadhav, S; Mohsin, M; Faizaa, AS; Rai, M</t>
  </si>
  <si>
    <t>Complexation Study of Synthesized Pharmacological Organic Ligands with Samarium</t>
  </si>
  <si>
    <t>Nueangnong, V; Subih, AASH; Al-Hattami, HM</t>
  </si>
  <si>
    <t>JOURNAL OF APPLIED POLYMER SCIENCE</t>
  </si>
  <si>
    <t>The 2020's world deadliest pandemic: Corona Virus (COVID-19) and International Medical Law (IML)</t>
  </si>
  <si>
    <t>1042-0150</t>
  </si>
  <si>
    <t>Tiwari, SV; Seijas, JA; Vazquez-Tato, MP; Sarkate, AP; Karnik, KS; Nikalje, APG</t>
  </si>
  <si>
    <t>Ionic Liquid-Promoted Synthesis of Novel Chromone-Pyrimidine Coupled Derivatives, Antimicrobial Analysis, Enzyme Assay, Docking Study and Toxicity Study</t>
  </si>
  <si>
    <t>Patil, M; Sharma, D; Dive, A; Mahajan, S; Sharma, R</t>
  </si>
  <si>
    <t>JOURNAL OF APPLIED MICROBIOLOGY</t>
  </si>
  <si>
    <t>Study of Various Synthesis Techniques of Nanomaterials</t>
  </si>
  <si>
    <t>Dielectric and Acoustic Characterization Study of Cyclohexane with n-Butanol at 298 K</t>
  </si>
  <si>
    <t>Singh, R; Vora, J; Nadhe, SB; Wadhwani, SA; Shedbalkar, UU; Chopade, BA</t>
  </si>
  <si>
    <t>POLYMERS FOR ADVANCED TECHNOLOGIES</t>
  </si>
  <si>
    <t>Antibacterial Activities of Bacteriagenic Silver Nanoparticles Against Nosocomial Acinetobacter baumannii</t>
  </si>
  <si>
    <t>0301-4851</t>
  </si>
  <si>
    <t>AMER SCIENTIFIC PUBLISHERS</t>
  </si>
  <si>
    <t>Maharolkar, AP; Murugkar, AG; Khirade, PW</t>
  </si>
  <si>
    <t>DIELECTRIC &amp; PHYSIOCHEMICAL CHARACTERIZATION OF NITROMETHANE WITH DMSO AT 293.15 K</t>
  </si>
  <si>
    <t>SOC CHILENA QUIMICA</t>
  </si>
  <si>
    <t>Dive, AS; Kounsalye, JS; Sharma, R</t>
  </si>
  <si>
    <t>ENGINEERING TECHNOLOGY &amp; APPLIED SCIENCE RESEARCH</t>
  </si>
  <si>
    <t>Growth, structural, morphological, opto-electrical and first-principle investigations of ZnMgS thin films</t>
  </si>
  <si>
    <t>Redhwan, SS; Shaikh, SL; Abdo, MS</t>
  </si>
  <si>
    <t>Implicit fractional differential equation with anti-periodic boundary condition involving Caputo-Katugampola type</t>
  </si>
  <si>
    <t>2008-8868</t>
  </si>
  <si>
    <t>Kharat, PB; Jadhav, SA; Deshmukh, SS; Keche, AP; More, SD; Sarnaik, MN; Jadhav, KM</t>
  </si>
  <si>
    <t>SECURITY AND COMMUNICATION NETWORKS</t>
  </si>
  <si>
    <t>Evaluation of Thermal Conductivity of the NiFe2O4 Ferrofluids under Influence of Magnetic Field</t>
  </si>
  <si>
    <t>Rasal, YB; Kulkarni, RB; Shirsat, MD; Hussaini, SS</t>
  </si>
  <si>
    <t>INTERNATIONAL JOURNAL OF INTELLIGENT UNMANNED SYSTEMS</t>
  </si>
  <si>
    <t>Crystal Growth, Spectral, Optical and Thermal Studies of Thiourea Ammonium Acetate Doped Potassium Dihydrogen Phosphate Crystal for NLO Applications</t>
  </si>
  <si>
    <t>Jadhav, CK; Nipate, AS; Chate, AV; Dofe, VS; Sangshetti, JN; Khedkar, VM; Gill, CH</t>
  </si>
  <si>
    <t>Rapid Construction of Substituted Dihydrothiophene Ureidoformamides at Room Temperature Using Diisopropyl Ethyl Ammonium Acetate: A Green Perspective</t>
  </si>
  <si>
    <t>2165-8684</t>
  </si>
  <si>
    <t>Al-Khawlany, AH; Khan, AR; Pathan, JM</t>
  </si>
  <si>
    <t>INDIAN JOURNAL OF TRADITIONAL KNOWLEDGE</t>
  </si>
  <si>
    <t>Radiological and health hazards resulting from radioactivity and elemental composition of some soil samples</t>
  </si>
  <si>
    <t>0003-3847</t>
  </si>
  <si>
    <t>Maharolkar, AP; Murugkar, A; Khirade, PW</t>
  </si>
  <si>
    <t>Microwave Dielectric Polarization Study of Polar liquids at 298 K</t>
  </si>
  <si>
    <t>Pawar, UD; Pawar, CD; Kulkarni, UK; Pardeshi, RK; Farooqui, M; Shinde, DB</t>
  </si>
  <si>
    <t>Use of Diphenylamine Reagent for High-Performance Thin-Layer Chromatographic Detection of Organochloro Insecticide Endosulfan in Biological Samples</t>
  </si>
  <si>
    <t>Saraf, TS; Kounsalye, JS; Birajdar, SD; Shamkuwar, NR</t>
  </si>
  <si>
    <t>BIOTECHNOLOGY AND APPLIED BIOCHEMISTRY</t>
  </si>
  <si>
    <t>Nd: YAG laser irradiation effects on structural and magnetic properties of Ni1+xZrxFe2-2xO4 nanoparticles</t>
  </si>
  <si>
    <t>Deshmukh, MA; Shirsat, MD; Ramanaviciene, A; Ramanavicius, A</t>
  </si>
  <si>
    <t>Composites Based on Conducting Polymers and Carbon Nanomaterials for Heavy Metal Ion Sensing (Review)</t>
  </si>
  <si>
    <t>Tigote, RM; Kazi, SK; Bhore, RM; Dongre, RK; Reddy, SM; Sarnikar, YP; Kamble, DP; Mane, YD</t>
  </si>
  <si>
    <t>INTERNATIONAL JOURNAL OF ADVANCED AND APPLIED SCIENCES</t>
  </si>
  <si>
    <t>Influence of yttrium and magnesium on the optical-magneto properties of ferrite nanoparticles and catalytic study for metal ligand synthesis</t>
  </si>
  <si>
    <t>Girhe, NB; Botewad, SN; More, CV; Kadam, SB; Pawar, PP; Kadam, AB</t>
  </si>
  <si>
    <t>Development of water-based CuO, TiO2 and ZnO nanofluids and comparative study of thermal conductivity and viscosity</t>
  </si>
  <si>
    <t>Karnik, KS; Sarkate, AP; Lokwani, DK; Tiwari, SV; Azad, R; Wakte, PS</t>
  </si>
  <si>
    <t>JOURNAL OF STRUCTURAL CHEMISTRY</t>
  </si>
  <si>
    <t>Molecular dynamic simulations based discovery and development of thiazolidin-4-one derivatives as EGFR inhibitors targeting resistance in non-small cell lung cancer (NSCLC)</t>
  </si>
  <si>
    <t>Pagare, RA; Kumar, S; Mishra, A</t>
  </si>
  <si>
    <t>Design and analysis of hybrid optical distribution network for worst-case scenario of E2-class symmetric coexistence 80 Gbps TWDM NG-PON2 architecture for FTTX access networks</t>
  </si>
  <si>
    <t>Almaqtari, FA; Shamim, M; Al-Hattami, HM; Aqlan, SA</t>
  </si>
  <si>
    <t>International Journal of Managerial and Financial Accounting</t>
  </si>
  <si>
    <t>Corporate governance in India and some selected Gulf countries</t>
  </si>
  <si>
    <t>http://dx.doi.org/10.1504/IJMFA.2020.109135</t>
  </si>
  <si>
    <t>Raut, AV; Khirade, PP; Shengule, DR; Jadhav, KM</t>
  </si>
  <si>
    <t>50 kGy-100 kGy 60Co γ-irradiation effects on structural and DC-electrical properties of sol-gel synthesized ZnF NPs</t>
  </si>
  <si>
    <t>Mane, VA; Dake, DV; Raskar, ND; Sonpir, RB; Stathatos, E; Dole, BN</t>
  </si>
  <si>
    <t>Magneto-optical properties of Fe-doped bismuth oxide nanorods for photocatalytic and antimicrobial applications</t>
  </si>
  <si>
    <t>Thorat, SN; Ghadle, KP; Muneshwar, RA; Bondar, KL</t>
  </si>
  <si>
    <t>Geometric meaning and variation of parameter method of modified α-fractional derivative</t>
  </si>
  <si>
    <t>Dighole, RP; Munde, AV; Mulik, BB; Zade, SS; Sathe, BR</t>
  </si>
  <si>
    <t>Melamine functionalised multiwalled carbon nanotubes (M-MWCNTs) as a metal-free electrocatalyst for simultaneous determination of 4-nitrophenol and nitrofurantoin</t>
  </si>
  <si>
    <t>Investigation of Super-Capacitive Properties of Nanocrystalline Copper-Zinc (Cu0.5Zn0.5Fe2O4) Ferrite Nanoparticles</t>
  </si>
  <si>
    <t>1814-2427</t>
  </si>
  <si>
    <t>Phatak, PS; Bakale, RD; Kulkarni, RS; Dhumal, ST; Dixit, PP; Krishna, VS; Sriram, D; Khedkar, VM; Haval, KP</t>
  </si>
  <si>
    <t>RADIATION EFFECTS AND DEFECTS IN SOLIDS</t>
  </si>
  <si>
    <t>Design and synthesis of new indanol-1,2,3-triazole derivatives as potent antitubercular and antimicrobial agents</t>
  </si>
  <si>
    <t>Shisode, MV; Kharat, PB; Bhoyar, DN; Vinayak, V; Babrekar, MK; Jadhav, KM</t>
  </si>
  <si>
    <t>Structural and Multiferroic Properties of Ba2+ Doped BiFeO3 Nanoparticles Synthesized Via Sol-Gel Method</t>
  </si>
  <si>
    <t>Bhagwat, VR; Humbe, AV; More, SD; Jadhav, KM</t>
  </si>
  <si>
    <t>Sol-gel auto combustion synthesis and characterizations of cobalt ferrite nanoparticles: Different fuels approach</t>
  </si>
  <si>
    <t>COMPUTATIONAL INTELLIGENCE AND NEUROSCIENCE</t>
  </si>
  <si>
    <t>New Chromogenic Reagent for High-Performance Thin-Layer Chromatographic Detection of Organophosphorus Insecticide Monocrotophos in Biological Materials</t>
  </si>
  <si>
    <t>Maharolkar, AP; Murugkar, AG; Khirade, PW; Mehrotra, SC</t>
  </si>
  <si>
    <t>MOLECULAR BIOLOGY REPORTS</t>
  </si>
  <si>
    <t>MICROWAVE DIELECTRIC RELAXATION &amp; POLARIZATION STUDY OF BINARY MIXTURE OF METHYLETHYLKETONE WITH NITROBENZENE</t>
  </si>
  <si>
    <t>CHEM SOC ETHIOPIA</t>
  </si>
  <si>
    <t>Danne, AB; Lathi, K; Sangshetti, JN; Khedkar, VM; Khalse, LD; Shingate, BB</t>
  </si>
  <si>
    <t>New 1,2,3-triazole tethered-1,4-dihydropyridines as potential antioxidant agents: Synthesis and molecular docking study</t>
  </si>
  <si>
    <t>Al-Bukhrani, MA; Al-Matari, EM; Gauri, FN</t>
  </si>
  <si>
    <t>IFRS integration into accounting education: Academics' perspective: Evidence form Yemeni universities</t>
  </si>
  <si>
    <t>More, CV; Alavian, H; Pawar, PP</t>
  </si>
  <si>
    <t>INTERNATIONAL JOURNAL OF NANO DIMENSION</t>
  </si>
  <si>
    <t>Evaluation of gamma-ray attenuation characteristics of some thermoplastic polymers: Experimental, WinXCom and MCNPX studies</t>
  </si>
  <si>
    <t>Evaluation of gamma ray and neutron attenuation capability of thermoplastic polymers</t>
  </si>
  <si>
    <t>0006-2928</t>
  </si>
  <si>
    <t>Koinkar, P; Ohsumi, Y; Furube, A; Murai, KI; Moriga, T; Bodkhe, G; Shirsat, MD</t>
  </si>
  <si>
    <t>RESEARCH IN ASTRONOMY AND ASTROPHYSICS</t>
  </si>
  <si>
    <t>Field effect transistor behavior of Bi2Se3 nanostructure prepared by laser ablation</t>
  </si>
  <si>
    <t>1068-1620</t>
  </si>
  <si>
    <t>Chilwar, RR; Chavan, AR; Babrekar, MK; Jadhav, KM</t>
  </si>
  <si>
    <t>CRITICAL PHILOSOPHY OF RACE</t>
  </si>
  <si>
    <t>Impact of trivalent metal ion substitution on structural, optical, magnetic and dielectric properties of Li0.5Fe2.5O4 thin films</t>
  </si>
  <si>
    <t>Bhosle, MR; Khillare, LD; Mali, JR; Sarkate, AP; Lokwani, DK; Tiwari, SV</t>
  </si>
  <si>
    <t>DIPEAc promoted one-pot synthesis of dihydropyrido[2,3-d:6,5-d′]dipyrimidinetetraone and pyrimido[4,5-d] pyrimidine derivatives as potent tyrosinase inhibitors and anticancer agents: in vitro screening, molecular docking and ADMET predictions</t>
  </si>
  <si>
    <t>Vaidya, SR; Tilavat, SM; Hamde, VS; Bhattad, DR</t>
  </si>
  <si>
    <t>ANNALES BOTANICI FENNICI</t>
  </si>
  <si>
    <t>Outbreak of mumps virus genotype G infection in tribal individuals during 2016-17 in India</t>
  </si>
  <si>
    <t>Nagargoje, AA; Akolkar, SV; Siddiqui, MM; Subhedar, DD; Sangshetti, JN; Khedkar, VM; Shingate, BB</t>
  </si>
  <si>
    <t>Quinoline Based Monocarbonyl Curcumin Analogs as Potential Antifungal and Antioxidant Agents: Synthesis, Bioevaluation and Molecular Docking Study</t>
  </si>
  <si>
    <t>Deshmukh, TR; Sarkate, AP; Lokwani, DK; Tiwari, SV; Azad, R; Shingate, BB</t>
  </si>
  <si>
    <t>New amide linked dimeric 1,2,3-triazoles bearing aryloxy scaffolds as a potent antiproliferative agents and EGFR tyrosine kinase phosphorylation inhibitors</t>
  </si>
  <si>
    <t>Chavan, AR; Kounsalye, JS; Chilwar, RR; Kale, SB; Jadhav, KM</t>
  </si>
  <si>
    <t>Cu2+ substituted NiFe2O4 thin films via spray pyrolysis technique and their high-frequency devices application</t>
  </si>
  <si>
    <t>Microwave Dielectric Study of Polar liquids at 298 K</t>
  </si>
  <si>
    <t>0308-8146</t>
  </si>
  <si>
    <t>Ahmed, ZAT; Albalawi, E; Aldhyani, THH; Jadhav, ME; Janrao, P; Obeidat, MRM</t>
  </si>
  <si>
    <t>Applying Eye Tracking with Deep Learning Techniques for Early-Stage Detection of Autism Spectrum Disorders</t>
  </si>
  <si>
    <t>Mane, SA; Kashale, AA; Kamble, GP; Kolekar, SS; Dhas, SD; Patil, MD; Moholkar, AV; Sathe, BR; Ghule, AV</t>
  </si>
  <si>
    <t>Facile synthesis of flower-like Bi2O3 as an efficient electrode for high performance asymmetric supercapacitor</t>
  </si>
  <si>
    <t>Chavan, AR; Somvanshi, SB; Khirade, PP; Jadhav, KM</t>
  </si>
  <si>
    <t>Influence of trivalent Cr ion substitution on the physicochemical, optical, electrical, and dielectric properties of sprayed NiFe2O4spinel-magnetic thin films</t>
  </si>
  <si>
    <t>Gaikwad, DD; Pawar, UD; Chavan, SL; Pawar, CD; Pansare, DN; Shelke, RN; Chavan, SL; Zine, AM</t>
  </si>
  <si>
    <t>Synthesis and anti-proliferative activity studies of 2-(2-(trifluoromethyl)-6-(substituted)imidazo[1,2-b]pyridazin-3-yl)-N-(substituted)acetamide derivatives</t>
  </si>
  <si>
    <t>Salunke, AS; Kharat, AS</t>
  </si>
  <si>
    <t>Data on isolation and purification of fibrinolytic enzyme from Pseudomonas baetica SUHU25</t>
  </si>
  <si>
    <t>0032-6895</t>
  </si>
  <si>
    <t>Pawar, CD; Chavan, SL; Pawar, UD; Pansare, DN; Deshmukh, SV; Shinde, DB</t>
  </si>
  <si>
    <t>Synthesis, anti-proliferative activity, SAR, and kinase inhibition studies of thiazol-2-yl- substituted sulfonamide derivatives</t>
  </si>
  <si>
    <t>2314-4629</t>
  </si>
  <si>
    <t>Yelwande, AA; Navgire, ME; Palve, M; Patil, HS; Farooqui, M; Dinore, JM</t>
  </si>
  <si>
    <t>SCIENTIFIC DATA</t>
  </si>
  <si>
    <t>One-pot multicomponent synthesis approach for tetrahydropyridines using polyaniline-zirconium oxide composites</t>
  </si>
  <si>
    <t>Jagadale, S; Chavan, A; Shinde, A; Sisode, V; Bobade, VD; Mhaske, PC</t>
  </si>
  <si>
    <t>MATERIALS ADVANCES</t>
  </si>
  <si>
    <t>Synthesis and antimicrobial evaluation of new thiazolyl-1,2,3-triazolyl-alcohol derivatives</t>
  </si>
  <si>
    <t>AL-Gahouari, T; Bodkhe, G; Sayyad, P; Ingle, N; Mahadik, M; Shirsat, SM; Deshmukh, M; Musahwar, N; Shirsat, M</t>
  </si>
  <si>
    <t>Electrochemical Sensor: L-Cysteine Induced Selectivity Enhancement of Electrochemically Reduced Graphene Oxide-Multiwalled Carbon Nanotubes Hybrid for Detection of Lead (Pb2+) Ions</t>
  </si>
  <si>
    <t>Wadhwani, SA; Shedbalkar, UU; Nadhe, S; Singh, R; Chopade, BA</t>
  </si>
  <si>
    <t>INNOVATIVE MARKETING</t>
  </si>
  <si>
    <t>Decolorization of textile dyes by combination of gold nanocatalysts obtained from Acinetobacter sp SW30 and NaBH4</t>
  </si>
  <si>
    <t>Sapner, VS; Tanwade, PD; Munde, AV; Sathe, BR</t>
  </si>
  <si>
    <t>Cobalt/Cobalt Oxide Nanorods-Decorated Reduced Graphene Oxide (Co/Co3O4-rGO) for Enhanced Electrooxidation of Glycerol</t>
  </si>
  <si>
    <t>Banda, RR; Halge, DI; Narwade, VN; Kaawash, NMS; Thabit, MYH; Alegaonkar, PS; Bogle, KA</t>
  </si>
  <si>
    <t>Polarization-independent enhancement in UV photoconductivity of BiFeO3/Sn:In2O3 heterostructure</t>
  </si>
  <si>
    <t>Mane, SS; Joshi, GM; Shirsat, MD; Kaleemulla, S</t>
  </si>
  <si>
    <t>Development of soft polymer blend for copper ion detection by electrochemical route</t>
  </si>
  <si>
    <t>0950-0618</t>
  </si>
  <si>
    <t>Somvanshi, SB; Patade, SR; Andhare, DD; Jadhav, SA; Khedkar, MV; Kharat, PB; Khirade, PP; Jadhav, KM</t>
  </si>
  <si>
    <t>Hyperthermic evaluation of oleic acid coated nano-spinel magnesium ferrite: Enhancement via hydrophobic-to-hydrophilic surface transformation</t>
  </si>
  <si>
    <t>Nadhe, SB; Singh, R; Wadhwani, SA; Chopade, BA</t>
  </si>
  <si>
    <t>Acinetobacter sp. mediated synthesis of AgNPs, its optimization, characterization and synergistic antifungal activity against C. albicans</t>
  </si>
  <si>
    <t>2008-9244</t>
  </si>
  <si>
    <t>Bakale, RD; Phatak, PS; Rathod, SS; Choudhari, PB; Rekha, EM; Sriram, D; Kulkarni, RS; Haval, KP</t>
  </si>
  <si>
    <t>APPLIED MATHEMATICS E-NOTES</t>
  </si>
  <si>
    <t>In vitro and in silico exploration of newly synthesized triazolyl- isonicotinohydrazides as potent antitubercular agents</t>
  </si>
  <si>
    <t>Botewad, SN; Gaikwad, DK; Girhe, NB; Pawar, PP</t>
  </si>
  <si>
    <t>Ultrasensitive polyaniline-nickel oxide cladding modified with urease immobilized intrinsic optical fiber urea biosensor</t>
  </si>
  <si>
    <t>Deshmukh, TR; Krishna, VS; Sriram, D; Sangshetti, JN; Shingate, BB</t>
  </si>
  <si>
    <t>Synthesis and bioevaluation of α,α'-bis(1H-1,2,3-triazol-5-ylmethylene) ketones</t>
  </si>
  <si>
    <t>Alasadi, AA; Adhyani, THH; Deshmukh, RR; Alahmadi, AH; Alshebami, AS</t>
  </si>
  <si>
    <t xml:space="preserve">Engineering, Technology &amp; Applied Science Research </t>
  </si>
  <si>
    <t>Efficient Feature Extraction Algorithms to Develop an Arabic Speech Recognition System</t>
  </si>
  <si>
    <t>1792-8036</t>
  </si>
  <si>
    <t>Eng. Technol. Appl. Sci. Res.</t>
  </si>
  <si>
    <t>https://doi.org/10.48084/etasr.3465</t>
  </si>
  <si>
    <t>Jadhav, GL; More, SD; Kale, CM; Jadhav, KM</t>
  </si>
  <si>
    <t>RUSSIAN JOURNAL OF BIOORGANIC CHEMISTRY</t>
  </si>
  <si>
    <t>Effect of magnesium substitution on the structural, morphological, optical and wettability properties of cobalt ferrite thin films</t>
  </si>
  <si>
    <t>Alzahrani, A; Aldhyani, THH; Alsubari, SN; Alghamdi, AD</t>
  </si>
  <si>
    <t>RETRACTED: Network Traffic Forecasting in Network Cybersecurity: Granular Computing Model (Retracted Article)</t>
  </si>
  <si>
    <t>WILEY-HINDAWI</t>
  </si>
  <si>
    <t>Development of green synthesized nanomaterials for hybrid vehicle applications</t>
  </si>
  <si>
    <t>0253-4142</t>
  </si>
  <si>
    <t>Nadhe, SB; Wadhwani, SA; Singh, R; Chopade, BA</t>
  </si>
  <si>
    <t>Green Synthesis of AuNPs byAcinetobactersp. GWRVA25: Optimization, Characterization, and Its Antioxidant Activity</t>
  </si>
  <si>
    <t>0253-2964</t>
  </si>
  <si>
    <t>Sharma, A; Magotra, A; Bhatt, S; Dogra, A; Wazir, P; Satti, NK; Singh, G; Bhusari, SS; Nandi, U</t>
  </si>
  <si>
    <t>Indian Journal of Traditional Knowledge</t>
  </si>
  <si>
    <t>Potential herb-drug interaction of a flavone glycoside from Cuminum cyminum: Possible pathway for bioenhancement of rifampicin</t>
  </si>
  <si>
    <t>https://www.google.com/url?sa=t&amp;source=web&amp;rct=j&amp;opi=89978449&amp;url=https://nopr.niscpr.res.in/bitstream/123456789/45054/1/IJTK%252017(4)%2520776-782.pdf&amp;ved=2ahUKEwjB25DV49uGAxXOzjQHHa7QFNIQFnoECA4QAQ&amp;usg=AOvVaw3Ognqnge6B_gZaVRiMlPWH</t>
  </si>
  <si>
    <t>Patki, AS; Muley, DB; Kagne, RP; Mathapati, SR</t>
  </si>
  <si>
    <t>One-Pot Room-Temperature Protocol for the Synthesis of Pyrazolines Using SnO2 Nanocomposite as Heterogeneous Catalyst</t>
  </si>
  <si>
    <t>Kamble, DP; Shankarwar, AG; Mane, YD; Tigote, RM; Sarnikar, YP; Madje, BR</t>
  </si>
  <si>
    <t>Synthesis, Characterization and Antimicrobial Evaluation of New 3-(Alkyl/Arylamino)benzo[d]isothiazole 1,1-Derivatives</t>
  </si>
  <si>
    <t>Botewad, SN; Gaikwad, DK; Girhe, NB; Thorat, HN; Pawar, PP</t>
  </si>
  <si>
    <t>FOOD CHEMISTRY</t>
  </si>
  <si>
    <t>Urea biosensors: A comprehensive review</t>
  </si>
  <si>
    <t>Shirsat, MD; Sathe, BR; Koinkar, PM</t>
  </si>
  <si>
    <t>Editorial: Smart Materials for Energy Conversion and Sensor Based Technologies</t>
  </si>
  <si>
    <t>0169-7439</t>
  </si>
  <si>
    <t>Al-Hattami, HM; Hashed, AA; Alnuzaili, KME; Alsoufi, MAZ; Alnakeeb, AA; Rageh, H</t>
  </si>
  <si>
    <t>Effect of risk of using computerized AIS on external auditor's work quality in Yemen</t>
  </si>
  <si>
    <t>INST ADVANCED SCIENCE EXTENSION</t>
  </si>
  <si>
    <t>Mote, VD; Dole, BN</t>
  </si>
  <si>
    <t>Structural, optical, and magnetic properties of Mn-doped ZnS nanoparticles</t>
  </si>
  <si>
    <t>2504-477X</t>
  </si>
  <si>
    <t>Maharolkar, AP; Murugkar, A; Khirade, P; Mehrotra, S</t>
  </si>
  <si>
    <t>Temperature Dependent Microwave Dielectric Characterization of Associated Liquids</t>
  </si>
  <si>
    <t>PLEIADES PUBLISHING INC</t>
  </si>
  <si>
    <t>Basavaraj, RB; Kumar, S; Aarti, DP; Nagaraju, G; Kumar, HMS; Soundar, R; Shashidhara, TS; Sumedha, HN; Shahsank, M</t>
  </si>
  <si>
    <t>MATERIAUX &amp; TECHNIQUES</t>
  </si>
  <si>
    <t>Color tunable orange-red light emitting Sm3+ doped BaZrO3 nanopowders: Photoluminescence properties for w-LED applications</t>
  </si>
  <si>
    <t>1942-0900</t>
  </si>
  <si>
    <t>Masda, SG; Al-Wardat, MA; Pathan, JM</t>
  </si>
  <si>
    <t>JOURNAL OF MATHEMATICS</t>
  </si>
  <si>
    <t>Orbital and physical parameters of the close binary system GJ 9830 (HIP 116259)</t>
  </si>
  <si>
    <t>NATL ASTRONOMICAL OBSERVATORIES, CHIN ACAD SCIENCES</t>
  </si>
  <si>
    <t>Siddiqui, MA; Shaikh, MH; Nagargoje, AA; Shaikh, TT; Khedkar, VM; Deshpande, PP; Shingate, BB</t>
  </si>
  <si>
    <t>[DBU][OAc]-mediated synthesis and anthelmintic activity of triazole-tetrazole conjugates</t>
  </si>
  <si>
    <t>1062-936X</t>
  </si>
  <si>
    <t>Ingle, NN; Shirsat, S; Sayyad, P; Bodkhe, G; Patil, H; Deshmukh, M; Mahadik, M; Singh, F; Shirsat, M</t>
  </si>
  <si>
    <t>SENSORS AND ACTUATORS B-CHEMICAL</t>
  </si>
  <si>
    <t>Influence of swift heavy ion irradiation on sensing properties of nickel-(NRs-Ni3HHTP2) metal-organic framework</t>
  </si>
  <si>
    <t>Bhujbal, N; Gaikwad, D; Jagdale, Y; Pawar, C</t>
  </si>
  <si>
    <t>Synthesis, antimicrobial and anti-tubercular activity study of N-(substituted-benzyl)-4-(trifluoromethyl)thiazole-2-sulfonamide and 2-(N-(substituted-benzyl)sulfamoyl)thiazole-4-carboxylic acid</t>
  </si>
  <si>
    <t>1687-9422</t>
  </si>
  <si>
    <t>Hazaa, YMH; Almaqtari, FA; Al-Swidi, A</t>
  </si>
  <si>
    <t>Factors Influencing Crisis Management: A systematic review and synthesis for future research</t>
  </si>
  <si>
    <t>1546-2218</t>
  </si>
  <si>
    <t>Siddiqui, MA; Nagargoje, AA; Shaikh, MH; Siddiqui, RA; Pund, AA; Khedkar, VM; Asrondkar, A; Deshpande, PP; Shingate, BB</t>
  </si>
  <si>
    <t>Design, Synthesis and Bioevaluation of Highly Functionalized 1,2,3-Triazole-Guanidine Conjugates as Anti-Inflammatory and Antioxidant Agents</t>
  </si>
  <si>
    <t>0250-5991</t>
  </si>
  <si>
    <t>Sayyad, PW; Ingle, NN; Bodkhe, GA; Deshmukh, MA; Patil, HK; Shirsat, SM; Singh, F; Shirsat, MD</t>
  </si>
  <si>
    <t>Tuning the properties of Fe-BTC metal-organic frameworks (MOFs) by swift heavy ion (SHI) irradiation</t>
  </si>
  <si>
    <t>Chilwar, RR; Parlikar, R; Kardile, HJ; Babrekar, MK; Jadhav, KM</t>
  </si>
  <si>
    <t>CONSTRUCTION AND BUILDING MATERIALS</t>
  </si>
  <si>
    <t>Investigations of Structural, Morphological and Optical Properties of Spray Deposited Lithium Ferrite Thin Films</t>
  </si>
  <si>
    <t>2398-6247</t>
  </si>
  <si>
    <t>Maharolkar, AP; Murugkar, A; Khirade, PW; Mehrotra, SC</t>
  </si>
  <si>
    <t>Investigation on Some Thermo Physical Properties of Methylethylketone and Nitrobenzene Binary Mixtures</t>
  </si>
  <si>
    <t>Chavan, AR; Birajdar, SD; Chilwar, RR; Jadhav, KM</t>
  </si>
  <si>
    <t>JOURNAL OF NANOSTRUCTURE IN CHEMISTRY</t>
  </si>
  <si>
    <t>Structural, morphological, optical, magnetic and electrical properties of Al3+ substituted nickel ferrite thin films</t>
  </si>
  <si>
    <t>Alsubari, SN; Aldhyani, THH; Deshmukh, SN; Maashi, M; Alharbi, S; Al-Baity, HH</t>
  </si>
  <si>
    <t>RETRACTED: Computational Intelligence Based Recurrent Neural Network for Identification Deceptive Review in the E-Commerce Domain (Retracted Article)</t>
  </si>
  <si>
    <t>0219-581X</t>
  </si>
  <si>
    <t>Nittu, G; Bhavana, PM; Shameer, TT; Ramakrishnan, B; Archana, R; Kaushal, KK; Khedkar, GD; Mohan, G; Jyothi, M; Sanil, R</t>
  </si>
  <si>
    <t>Simple Nested Allele-Specific approach with penultimate mismatch for precise species and sex identification of tiger and leopard</t>
  </si>
  <si>
    <t>1392-6292</t>
  </si>
  <si>
    <t>Karnik, KS; Sarkate, AP; Tiwari, SV; Azad, R; Burra, PVLS; Wakte, PS</t>
  </si>
  <si>
    <t>Computational and Synthetic approach with Biological Evaluation of Substituted Quinoline derivatives as small molecule L858R/T790M/C797S triple mutant EGFR inhibitors targeting resistance in Non-Small Cell Lung Cancer (NSCLC)</t>
  </si>
  <si>
    <t>2514-9342</t>
  </si>
  <si>
    <t>Kale, SB; Somvanshi, SB; Sarnaik, MN; More, SD; Shukla, SJ; Jadhav, KM</t>
  </si>
  <si>
    <t>EUROPEAN JOURNAL OF MEDICINAL CHEMISTRY</t>
  </si>
  <si>
    <t>Enhancement in Surface Area and Magnetization of CoFe2O4 Nanoparticles for Targeted Drug Delivery Application</t>
  </si>
  <si>
    <t>Kounsalye, JS; Kharat, PB; Chavan, AR; Humbe, AV; Borade, RM; Jadhav, KM</t>
  </si>
  <si>
    <t>MINERALS</t>
  </si>
  <si>
    <t>Symmetry Transition via Tetravalent Impurity and Investigations on Magnetic Properties ofLi0.5Fe2.5O4</t>
  </si>
  <si>
    <t>Dake, DV; Sonpir, RB; Mane, VA; Raskar, ND; Khawal, HA; Deshpande, U; Dole, BN</t>
  </si>
  <si>
    <t>Inferring the physical properties of La-substituted ZnO nanorods and nanoflowers for the photodegradation of Congo red azo dye</t>
  </si>
  <si>
    <t>Fatema, S; Shirsat, M; Farooqui, M; Arif, PM</t>
  </si>
  <si>
    <t>International Journal of Nano Dimension</t>
  </si>
  <si>
    <t>Biosynthesis of Silver nanoparticle using aqueous extract of Saraca asoca leaves, its characterization and antimicrobial activity</t>
  </si>
  <si>
    <t>ISLAMIC AZAD UNIV TONEKABON</t>
  </si>
  <si>
    <t>https://journals.iau.ir/article_662234.html</t>
  </si>
  <si>
    <t>Patil, SR; Sarkate, AP; Karnik, KS; Arsondkar, A; Patil, V; Sangshetti, JN; Bobade, AS; Shinde, DB</t>
  </si>
  <si>
    <t>BULLETIN OF THE KOREAN CHEMICAL SOCIETY</t>
  </si>
  <si>
    <t>A Facile Synthesis of Substituted 2-(5-(Benzylthio)-1,3,4-oxadiazol-2-yl)pyrazine Using Microwave Irradiation and Conventional Method with Antioxidant and Anticancer Activities</t>
  </si>
  <si>
    <t>0360-3199</t>
  </si>
  <si>
    <t>Masda, SG; Al-Wardat, MA; Pathan, JKMK</t>
  </si>
  <si>
    <t>Physical and geometrical parameters of VCBS XIII: HIP 105947</t>
  </si>
  <si>
    <t>Bagade, U; Jogdand, Y; Bagade, V</t>
  </si>
  <si>
    <t>Critical Philosophy of Race</t>
  </si>
  <si>
    <t>SUBALTERN STUDIES AND THE TRANSITION IN INDIAN HISTORY WRITING</t>
  </si>
  <si>
    <t>2589-2347</t>
  </si>
  <si>
    <t>PENN STATE UNIV PRESS</t>
  </si>
  <si>
    <t>https://doi.org/10.5325/critphilrace.11.1.0175</t>
  </si>
  <si>
    <t>Patil, AG; Maharolkar, AP; Murugkar, A</t>
  </si>
  <si>
    <t>Study of Ultrasonic Properties of Binary Liquid Mixtures</t>
  </si>
  <si>
    <t>2212-4292</t>
  </si>
  <si>
    <t>Gavade, SK; Nimbalkar, V; Lekhak, M; Sardesai, M</t>
  </si>
  <si>
    <t>Identity, occurrence and typification of Sida angustifolia (Malvaceae), a neglected species in India</t>
  </si>
  <si>
    <t>0103-9733</t>
  </si>
  <si>
    <t>FINNISH ZOOLOGICAL BOTANICAL PUBLISHING BOARD</t>
  </si>
  <si>
    <t>Bharati, VA; Somvanshi, SB; Humbe, AV; Murumkar, VD; Sondur, VV; Jadhav, KM</t>
  </si>
  <si>
    <t>CHEMOMETRICS AND INTELLIGENT LABORATORY SYSTEMS</t>
  </si>
  <si>
    <t>Influence of trivalent Al-Cr co-substitution on the structural, morphological and Mossbauer properties of nickel ferrite nanoparticles</t>
  </si>
  <si>
    <t>NANOMATERIALS</t>
  </si>
  <si>
    <t>Illustrious influence of amino acid L-threonine (LT) on structural and optical insights of Zinc Thiourea Sulphate (ZTS) crystal</t>
  </si>
  <si>
    <t>Al-horaibi, SA; Alrabie, AA; Alghamdi, MT; Al-Ostoot, FH; Garoon, EM; Rajbhoj, AS</t>
  </si>
  <si>
    <t>JOURNAL OF COMPOSITES SCIENCE</t>
  </si>
  <si>
    <t>Novel hemicyanine sensitizers based on benzothiazole-indole for dye- sensitized solar cells: Synthesis, optoelectrical characterization and ef fi ciency of solar cell</t>
  </si>
  <si>
    <t>Shelke, RN; Pansare, DN; Sarkate, AP; Narula, IK; Lokwani, DK; Tiwari, SV; Azad, R; Thopate, SR</t>
  </si>
  <si>
    <t>Synthesis and evaluation of novel sulfonamide analogues of 6/7-aminoflavones as anticancer agents via topoisomerase II inhibition</t>
  </si>
  <si>
    <t>Subhedar, DD; Shaikh, MH; Nagargoje, AA; Akolkar, SV; Bhansali, SG; Sarkar, D; Shingate, BB</t>
  </si>
  <si>
    <t>OXIDATIVE MEDICINE AND CELLULAR LONGEVITY</t>
  </si>
  <si>
    <t>Amide-Linked Monocarbonyl Curcumin Analogues: Efficient Synthesis, Antitubercular Activity and Molecular Docking Study</t>
  </si>
  <si>
    <t>Patil, HK; Deshmukh, MA; Bodkhe, GA; Shirsat, SM; Asokan, K; Shirsat, MD</t>
  </si>
  <si>
    <t>Dimethylglyoxime modified swift heavy oxygen ions irradiated polyaniline/single walled carbon nanotubes composite electrode for detection of cobalt ions</t>
  </si>
  <si>
    <t>1432-8488</t>
  </si>
  <si>
    <t>Al-Mekhlafi, ZG; Senan, EM; Mohammed, BA; Alazmi, M; Alayba, AM; Alreshidi, A; Alshahrani, M</t>
  </si>
  <si>
    <t>SAR AND QSAR IN ENVIRONMENTAL RESEARCH</t>
  </si>
  <si>
    <t>Diagnosis of Histopathological Images to Distinguish Types of Malignant Lymphomas Using Hybrid Techniques Based on Fusion Features</t>
  </si>
  <si>
    <t>Sarnikar, YP; Mane, YD; Patil, SS; Surwase, SM; Tigote, RM; Khade, BC</t>
  </si>
  <si>
    <t>(C6F5)3B Catalyzed One-Pot Synthesis of Benzo[b]Cyclopenta[e][1,4]Oxazin-2(1H)-One and Thiazin-2(1H)-One Derivatives from Furan-2-yl(Phenyl)Methanol and 2-Aminophenol/Thiophenol</t>
  </si>
  <si>
    <t>Akolkar, SV; Nagargoje, AA; Shaikh, MH; Warshagha, MZA; Sangshetti, JN; Damale, MG; Shingate, BB</t>
  </si>
  <si>
    <t>INTERNATIONAL JOURNAL OF POLYMER SCIENCE</t>
  </si>
  <si>
    <t>NewN-phenylacetamide-linked 1,2,3-triazole-tethered coumarin conjugates: Synthesis, bioevaluation, and molecular docking study</t>
  </si>
  <si>
    <t>Sarode, AV; Kumbharkhane, AC; Mehrotra, SC</t>
  </si>
  <si>
    <t>Chemistry, Materials Science</t>
  </si>
  <si>
    <t>Dynamics and interactions in aqueous polyvinylpyrrolidone (PVP K-30): An approach using dielectric relaxation spectroscopy</t>
  </si>
  <si>
    <t>Khedkar, G; Kambayashi, C; Tabata, H; Takemura, I; Minei, R; Ogura, A; Kurabayashi, A</t>
  </si>
  <si>
    <t>JOURNAL OF BIOSCIENCES</t>
  </si>
  <si>
    <t>The draft genome sequence of the Brahminy blindsnake Indotyphlops braminus</t>
  </si>
  <si>
    <t>NATURE PORTFOLIO</t>
  </si>
  <si>
    <t>Humbe, AV; Kounsalye, JS; Somvanshi, SB; Kumar, A; Jadhav, KM</t>
  </si>
  <si>
    <t>Cation distribution, magnetic and hyperfine interaction studies of Ni-Zn spinel ferrites: role of Jahn Teller ion (Cu2+) substitution</t>
  </si>
  <si>
    <t>2079-6382</t>
  </si>
  <si>
    <t>Deshmukh, TR; Khare, SP; Krishna, VS; Sriram, D; Sangshetti, JN; Khedkar, VM; Shingate, BB</t>
  </si>
  <si>
    <t>INFORMATION DISCOVERY AND DELIVERY</t>
  </si>
  <si>
    <t>Synthesis, bioevaluation and molecular docking study of new piperazine and amide linked dimeric 1,2,3-triazoles</t>
  </si>
  <si>
    <t>0888-045X</t>
  </si>
  <si>
    <t>Al-Hattami, HM; Abdullah, AAH; Khamis, AAA</t>
  </si>
  <si>
    <t>DETERMINANTS OF INTENTION TO CONTINUE USING INTERNET BANKING: INDIAN CONTEXT</t>
  </si>
  <si>
    <t>LLC CPC BUSINESS PERSPECTIVES</t>
  </si>
  <si>
    <t>Patil, AG; Maharolkar, AP; Murugkar, AG</t>
  </si>
  <si>
    <t>Study of Thermo Physical Properties of Binary Liquid Mixtures of Trichloroethylene with 1-pentanol</t>
  </si>
  <si>
    <t>0971-1627</t>
  </si>
  <si>
    <t>Khare, SP; Deshmukh, TR; Sangshetti, JN; Krishna, VS; Sriram, D; Khedkar, VM; Shingate, BB</t>
  </si>
  <si>
    <t>INTERNATIONAL JOURNAL OF NANOSCIENCE</t>
  </si>
  <si>
    <t>Design, Synthesis and Molecular Docking Studies of Novel Triazole-Chromene Conjugates as Antitubercular, Antioxidant and Antifungal Agents</t>
  </si>
  <si>
    <t>MATHEMATICAL MODELLING AND ANALYSIS</t>
  </si>
  <si>
    <t>Reinforcement of polyaniline and poly-(o-toluidine) with SWNTs and tuning of their physicochemical properties by heavy ion beams</t>
  </si>
  <si>
    <t>Jeelani, MB; Alnahdi, AS; Abdo, MS; Abdulwasaa, MA; Shah, K; Wahash, HA</t>
  </si>
  <si>
    <t>GLOBAL KNOWLEDGE MEMORY AND COMMUNICATION</t>
  </si>
  <si>
    <t>Mathematical Modeling and Forecasting of COVID-19 in Saudi Arabia under Fractal-Fractional Derivative in Caputo Sense with Power-Law</t>
  </si>
  <si>
    <t>Jagadale, S; Bhoye, M; Nandurkar, Y; Bobade, VD; Mhaske, PC</t>
  </si>
  <si>
    <t>Synthesis, characterization and antimicrobial screening of new pyrazolyl-1,2,3-triazolyl-thiazolyl-ethanol derivatives</t>
  </si>
  <si>
    <t>Waikar, MR; Raste, PM; Sonker, RK; Gupta, V; Tomar, M; Shirsat, MD; Sonkawade, RG</t>
  </si>
  <si>
    <t>Enhancement in NH3 sensing performance of ZnO thin-film via gamma-irradiation</t>
  </si>
  <si>
    <t>Wahash, HA; Abdo, MS; Saeed, AM; Panchal, SK</t>
  </si>
  <si>
    <t>Applied Mathematics E-Notes</t>
  </si>
  <si>
    <t>Singular Fractional Differential Equations With ψ-Caputo Operator And Modified Picard's Iterative Method</t>
  </si>
  <si>
    <t>TSING HUA UNIV, DEPT MATHEMATICS</t>
  </si>
  <si>
    <t>https://www.emis.de/journals/AMEN/2020/AMEN-190405.pdf</t>
  </si>
  <si>
    <t>Sharma, A; Singh, MR; Kumar, SV; Singh, MP</t>
  </si>
  <si>
    <t>Comparative study of pigments used in 16th-17th century CE tempera mural art from Malayadipatti and Adiyamankottai temple, Tamil Nadu, India</t>
  </si>
  <si>
    <t>Siddiqui, MM; Nagargoje, AA; Akolkar, SV; Sangshetti, JN; Khedkar, VM; Pisal, PM; Shingate, BB</t>
  </si>
  <si>
    <t>[HDBU][HSO4]-catalyzed facile synthesis of new 1,2,3-triazole-tethered 2,3-dihydroquinazolin-4[1H]-one derivatives and their DPPH radical scavenging activity</t>
  </si>
  <si>
    <t>Tiknaik, A; Khedkar, C; Khedkar, G; Prakash, B; Mamatha, DM; Sangale, D; Kalyankar, A</t>
  </si>
  <si>
    <t>Microsatellite Genotyping Corroborated Loss of Genetic Diversity in Clarias batrachus as a Result of Lack of Regulatory Reforms in Aquaculture</t>
  </si>
  <si>
    <t>SPRINGER/PLENUM PUBLISHERS</t>
  </si>
  <si>
    <t>Shinde, RB; Pansare, DN; Sarkate, AP; Tiwari, SV; Shelke, RN; Lokwani, D; Jain, S; Zine, AM</t>
  </si>
  <si>
    <t>MATERIALS TODAY SUSTAINABILITY</t>
  </si>
  <si>
    <t>Exploration of 2-(Substituted Phenyl)-thiazolidin-4-one as Anticancer Agents</t>
  </si>
  <si>
    <t>1747-0277</t>
  </si>
  <si>
    <t>Suryawanshi, VB; Mathakari, SS; Swami, MB; Mathapati, SR</t>
  </si>
  <si>
    <t>FOOD BIOSCIENCE</t>
  </si>
  <si>
    <t>Fluorophosphoric Acid Promoted Formation of Imines of Sulfonamides and Dihydropyridines at Room Temperature</t>
  </si>
  <si>
    <t>Desta, HD; Pachpatte, DB; Mijena, JB; Abdi, T</t>
  </si>
  <si>
    <t>BRAZILIAN JOURNAL OF PHYSICS</t>
  </si>
  <si>
    <t>Univariate and Multivariate Ostrowski-Type Inequalities Using Atangana-Baleanu Caputo Fractional Derivative</t>
  </si>
  <si>
    <t>0167-577X</t>
  </si>
  <si>
    <t>Giri, NA; Sakhale, BK; Krishnakumar, T</t>
  </si>
  <si>
    <t>MATERIALS</t>
  </si>
  <si>
    <t>Nutrient composition, bioactive components, functional, thermal and pasting properties of sweet potato flour-incorporated protein-enriched and low glycemic composite flour</t>
  </si>
  <si>
    <t>Kagne, R; Kalalawe, V; Niwadange, S; Mahurkar, S; Munde, D</t>
  </si>
  <si>
    <t>Povidone-Phosphotungstic Acid Hybrid: An Efficient and Environmentally Benign Catalyst for the Synthesis of Quinazolinone Derivatives</t>
  </si>
  <si>
    <t>Kutwade, VV; Gattu, KP; Sonawane, ME; Khan, F; Tonpe, DA; Balal, M; Barman, SR; Sharma, R</t>
  </si>
  <si>
    <t>Growth and exploration of visible-light-driven enhanced photocatalytic activity of Cu1-XCrxS/CdS heterojunction thin film for active dye degradation</t>
  </si>
  <si>
    <t>Kagne, R; Niwadange, S; Kalalawe, V; Gutte, R; Munde, D</t>
  </si>
  <si>
    <t>Sulfated Tin Oxide: An Immensely Potent and Reusable Catalyst for the Synthesis of Benzimidazole Derivatives</t>
  </si>
  <si>
    <t>2468-2284</t>
  </si>
  <si>
    <t>Khilare, V; Tiknaik, A; Prakash, B; Ughade, B; Korhale, G; Nalage, D; Ahmed, N; Khedkar, C; Khedkar, G</t>
  </si>
  <si>
    <t>Multiple tests on saffron find new adulterant materials and reveal that Ist grade saffron is rare in the market</t>
  </si>
  <si>
    <t>Dhage, VN; Mane, ML; Rathod, SB; Rathod, SM; Jadhav, KM</t>
  </si>
  <si>
    <t>JOURNAL OF SOLID STATE ELECTROCHEMISTRY</t>
  </si>
  <si>
    <t>Electric, dielectric and AC electrical conductivity study of Al3+ substituted barium hexaferrite nanoparticles synthesized by Sol-gel auto-combustion technique</t>
  </si>
  <si>
    <t>2708-9967</t>
  </si>
  <si>
    <t>Khirade, PP; Chavan, AR; Somvanshi, SB; Kounsalye, JS; Jadhav, KM</t>
  </si>
  <si>
    <t>Tuning of physical properties of multifunctional Mg-Zn spinel ferrite nanocrystals: a comparative investigations manufactured via conventional ceramic versus green approach sol-gel combustion route</t>
  </si>
  <si>
    <t>1389-5575</t>
  </si>
  <si>
    <t>Akolkar, SV; Nagargoje, AA; Krishna, VS; Sriram, D; Sangshetti, JN; Damale, M; Shingate, BB</t>
  </si>
  <si>
    <t>New N-phenylacetamide-incorporated 1,2,3-triazoles: [Et3NH][OAc]-mediated efficient synthesis and biological evaluation</t>
  </si>
  <si>
    <t>Mathapati, SR; Alange, RC; Mol, CBS; Bhande, SS; Jadhav, AH</t>
  </si>
  <si>
    <t>Tailored SnO2@MWCNTs efficient and recyclable nano-catalyst for selective synthesis of 4, 5-dihydropyrrolo [1, 2-a] quinoxalines via Pictet-Spengler reaction</t>
  </si>
  <si>
    <t>Sharma, R; Dive, AS; Han, SH</t>
  </si>
  <si>
    <t>Influence of annealing on chemically grown PbS thin films and its DFT study</t>
  </si>
  <si>
    <t>2229-7928</t>
  </si>
  <si>
    <t>Bodke, M; Gawai, U; Patil, A; Dole, B</t>
  </si>
  <si>
    <t>Estimation of accurate size, lattice strain using Williamson-Hall models, SSP and TEM of Al doped ZnO nanocrystals</t>
  </si>
  <si>
    <t>EDP SCIENCES S A</t>
  </si>
  <si>
    <t>Khedkar, MV; Humbe, AV; Rao, AV; Bichile, GK; Jadhav, KM</t>
  </si>
  <si>
    <t>ANTIBIOTICS-BASEL</t>
  </si>
  <si>
    <t>Synthesis of Sodium Silicate based Aerogels by Ambient Pressure Drying and their Physical Properties</t>
  </si>
  <si>
    <t>Almazah, MMA; Hardan, B; Hamoud, AA; Ali, FAM</t>
  </si>
  <si>
    <t>BOTTOM LINE</t>
  </si>
  <si>
    <t>On Generalized Caristi Type Satisfying Admissibility Mappings</t>
  </si>
  <si>
    <t>Shelke, S; Pathan, I; Shinde, G; Agrawal, G; Damale, M; Chouthe, R; Panzade, P; Kulkarni, D</t>
  </si>
  <si>
    <t>Poloxamer-Based In Situ Nasal Gel of Naratriptan Hydrochloride Deformable Vesicles for Brain Targeting</t>
  </si>
  <si>
    <t>Gupta, SP; Pawbake, AS; Sathe, BR; Late, DJ; Walke, PS</t>
  </si>
  <si>
    <t>INDIAN JOURNAL OF HETEROCYCLIC CHEMISTRY</t>
  </si>
  <si>
    <t>Superior humidity sensor and photodetector of mesoporous ZnO nanosheets at room temperature</t>
  </si>
  <si>
    <t>1367-3270</t>
  </si>
  <si>
    <t>Shinde, VS; Vinayak, V; Jadhav, SP; Shinde, ND; Humbe, AV; Jadhav, KM</t>
  </si>
  <si>
    <t>Structure, Morphology, Cation Distribution and Magnetic Properties of Cr3+-Substituted CoFe2O4 Nanoparticles</t>
  </si>
  <si>
    <t>Kolhe, SB; Undre, PB; Maharolkar, AP; Khirade, PW</t>
  </si>
  <si>
    <t>Dielectric Study of Methyl Acetate with Propylene Glycol Using Time Domain Reflectometry Technique</t>
  </si>
  <si>
    <t>Sonone, SS; Saini, K; Jadhav, S; Sankhla, MS; Nagar, V</t>
  </si>
  <si>
    <t>The future of edge computing</t>
  </si>
  <si>
    <t>ELSEVIER ACADEMIC PRESS INC</t>
  </si>
  <si>
    <t>Nagargoje, AA; Akolkar, S; Subhedar, DD; Shaikh, MH; Sangshetti, JN; Khedkar, VM; Shingate, BB</t>
  </si>
  <si>
    <t>Propargylated monocarbonyl curcumin analogues: synthesis, bioevaluation and molecular docking study</t>
  </si>
  <si>
    <t>Rashed, S; Kutwade, V; Gubari, GMM; Sharma, R</t>
  </si>
  <si>
    <t>Perovskite thin-film working as a charge communicator with CdS/CuS heterostructure thin film for optoelectronic applications</t>
  </si>
  <si>
    <t>Goli, VSNS; Yadav, R; Singh, MR</t>
  </si>
  <si>
    <t>Forensic investigations on 1900 years old brick and mortar samples from Buddhist stupa located at Nalasopara, India</t>
  </si>
  <si>
    <t>Mohammed, BA; Senan, EM; Al-Mekhlafi, ZG; Alazmi, M; Alayba, AM; Alanazi, AA; Alreshidi, A; Alshahrani, M</t>
  </si>
  <si>
    <t>Hybrid Techniques for Diagnosis with WSIs for Early Detection of Cervical Cancer Based on Fusion Features</t>
  </si>
  <si>
    <t>Chavan, AR; Khirade, PP; Somvanshi, SB; Mukhamale, SV; Jadhav, KM</t>
  </si>
  <si>
    <t>Eco-friendly green synthesis and characterizations of CoFe2-x AlxO4 nanocrystals: analysis of structural, magnetic, electrical, and dielectric properties</t>
  </si>
  <si>
    <t>Alkahtani, H; Aldhyani, THH; Ahmed, ZAT; Alqarni, AA</t>
  </si>
  <si>
    <t>Developing System-Based Artificial Intelligence Models for Detecting the Deficit Hyperactivity Disorder</t>
  </si>
  <si>
    <t>Sarkate, AP; Karnik, KS; Wakte, PS; Sarkate, AP; Izankar, AV; Shinde, DB</t>
  </si>
  <si>
    <t>CHEMICAL BIOLOGY &amp; DRUG DESIGN</t>
  </si>
  <si>
    <t>Copper-catalyzed Convenient Synthesis and SAR Studies of Substituted-1,2,3-triazole as Antimicrobial Agents</t>
  </si>
  <si>
    <t>Dhumal, ST; Deshmukh, TR; Haval, KP; Krishna, VS; Sriram, D; Khedkar, VM; Rehman, NNMA; Dixit, PP; Mane, RA</t>
  </si>
  <si>
    <t>Synthesis of New Amide Linked Biphenoloxy 1,2,3-Triazoles as Antitubercular and Antimicrobial Agents</t>
  </si>
  <si>
    <t>2772-4174</t>
  </si>
  <si>
    <t>Kardile, RA; Sarkate, AP; Lokwani, DK; Tiwari, S; Azad, R; Thopate, SR</t>
  </si>
  <si>
    <t>MATERIALS LETTERS</t>
  </si>
  <si>
    <t>Design, synthesis, and biological evaluation of novel quinoline derivatives as small molecule mutant EGFR inhibitors targeting resistance in NSCLC: In vitro screening and ADME predictions</t>
  </si>
  <si>
    <t>2162-8769</t>
  </si>
  <si>
    <t>ELSEVIER FRANCE-EDITIONS SCIENTIFIQUES MEDICALES ELSEVIER</t>
  </si>
  <si>
    <t>Ingole, VH; Ghule, SS; Vuherer, T; Kokol, V; Ghule, AV</t>
  </si>
  <si>
    <t>Mechanical Properties of Differently Nanostructured and High-Pressure Compressed Hydroxyapatite-Based Materials for Bone Tissue Regeneration</t>
  </si>
  <si>
    <t>More, V; Kadam, S; Kadam, S; Wadgane, S; Kadam, R; Alone, S</t>
  </si>
  <si>
    <t>Complete Micro-Structural Analysis and Elastic Properties of Sm3+-Doped Ni-Mn-Zn Mixed Spinel Ferrite Nanoparticles</t>
  </si>
  <si>
    <t>0022-2461</t>
  </si>
  <si>
    <t>Abdo, MS; Panchal, SK; Saeed, AM</t>
  </si>
  <si>
    <t>Fractional boundary value problem with ψ-Caputo fractional derivative</t>
  </si>
  <si>
    <t>Alam, MM; Atkore, ST; Kamble, VT; Varala, R</t>
  </si>
  <si>
    <t>JOURNAL OF SCIENCE-ADVANCED MATERIALS AND DEVICES</t>
  </si>
  <si>
    <t>ZrCl4-Mg(ClO4)2: Highly efficient bimetallic catalyst for acetylation of alcohol with acetic acid</t>
  </si>
  <si>
    <t>Undre, PB; Deshmukh, ML; Londhe, CT; Khirade, PW</t>
  </si>
  <si>
    <t>Microwave Dielectric Relaxation in Binary Mixtures of 1,3-Diaminopropane in Dimethylaminoethanol</t>
  </si>
  <si>
    <t>1658-3655</t>
  </si>
  <si>
    <t>Gaikwad, DK; Obaid, SS; Sayyed, MI; Bhosale, RR; Awasarmol, VV; Kumar, A; Shirsat, MD; Pawar, PP</t>
  </si>
  <si>
    <t>JOURNAL OF APPLIED SCIENCE AND ENGINEERING</t>
  </si>
  <si>
    <t>Comparative study of gamma ray shielding competence of WO3-TeO2-PbO glass system to different glasses and concretes</t>
  </si>
  <si>
    <t>Humbe, AV; Somvanshi, SB; Kounsalye, JS; Kumar, A; Jadhav, KM</t>
  </si>
  <si>
    <t>MINI-REVIEWS IN MEDICINAL CHEMISTRY</t>
  </si>
  <si>
    <t>Influential trivalent ion (Cr3+) substitution in mixed Ni-Zn nanoferrites: Cation distribution, magnetic, Mossbauer, electric, and dielectric studies</t>
  </si>
  <si>
    <t>Kagne, R; Niwadange, S; Kalalawe, V; Khansole, G; Munde, D</t>
  </si>
  <si>
    <t>PROCEEDINGS OF THE 2018 IEEE 8TH INTERNATIONAL CONFERENCE NANOMATERIALS: APPLICATION &amp; PROPERTIES (NAP-2018)</t>
  </si>
  <si>
    <t>Synthesis of Bioactive 1,4-DHPs Using Sulfated Tin Oxide as an Efficient Solid Superacid Catalyst</t>
  </si>
  <si>
    <t>Masand, VH; Akasapu, S; Gandhi, A; Rastija, V; Patil, MK</t>
  </si>
  <si>
    <t>Structure features of peptide-type SARS-CoV main protease inhibitors: Quantitative structure activity relationship study</t>
  </si>
  <si>
    <t>Ingole, VH; Vuherer, T; Maver, U; Vinchurkar, A; Ghule, AV; Kokol, V</t>
  </si>
  <si>
    <t>Mechanical Properties and Cytotoxicity of Differently Structured Nanocellulose-hydroxyapatite Based Composites for Bone Regeneration Application</t>
  </si>
  <si>
    <t>Shirsat, MD; Hianik, T</t>
  </si>
  <si>
    <t>ANALYTICAL CHEMISTRY LETTERS</t>
  </si>
  <si>
    <t>Electrochemical Detection of Heavy Metal Ions Based on Nanocomposite Materials</t>
  </si>
  <si>
    <t>Shinde, RB; Pansare, DN; Shelke, RN; Sarkate, AP; Tiwari, S; Bangal, MN; Bhagat, DS; Zine, AM</t>
  </si>
  <si>
    <t>A facile synthesis and characterization of some novel benzimidazole derivatives</t>
  </si>
  <si>
    <t>Pungle, R; Nile, SH; Makwana, N; Singh, R; Singh, RP; Kharat, AS</t>
  </si>
  <si>
    <t>Green Synthesis of Silver Nanoparticles Using the Tridax procumbens Plant Extract and Screening of Its Antimicrobial and Anticancer Activities</t>
  </si>
  <si>
    <t>Bandewad, GW; Pawar, SN; Shinde, PB; Kamble, CP</t>
  </si>
  <si>
    <t>Design, simulation, and analysis of nanostructures for low power devices</t>
  </si>
  <si>
    <t>0040-6090</t>
  </si>
  <si>
    <t>Masand, VH; Rastija, V; Patil, MK; Gandhi, A; Chapolikar, A</t>
  </si>
  <si>
    <t>Extending the identification of structural features responsible for anti-SARS-CoV activity of peptide-type compounds using QSAR modelling</t>
  </si>
  <si>
    <t>Mane, CB; Pawar, RP; Patil, RP; Patil, SB</t>
  </si>
  <si>
    <t>JOURNAL OF KNOWLEDGE MANAGEMENT</t>
  </si>
  <si>
    <t>Photocatalytic Environmental Remediation of Cassiterite-Titania Nanocomposite</t>
  </si>
  <si>
    <t>Vignesh, S; Jappes, JTW; Nagaveena, S; Sharma, RK; Khan, MA; More, CV; Rajini, N; Varol, T</t>
  </si>
  <si>
    <t>Development of Lightweight Polymer Laminates for Radiation Shielding and Electronics Applications</t>
  </si>
  <si>
    <t>Alsubari, SN; Deshmukh, SN; Alqarni, AA; Alsharif, N; Aldhyani, THH; Alsaade, FW; Khalaf, OI</t>
  </si>
  <si>
    <t>Data Analytics for the Identification of Fake Reviews Using Supervised Learning</t>
  </si>
  <si>
    <t>Mote, RD; Laxmikant, SV; Singh, SB; Tiwari, M; Singh, H; Srivastava, J; Tripathi, V; Seshadri, V; Majumdar, A; Subramanyam, D</t>
  </si>
  <si>
    <t>A cost-effective and efficient approach for generating and assembling reagents for conducting real-time PCR (vol 46, 109, 2021)</t>
  </si>
  <si>
    <t>Shaikh, MH; Subhedar, DD; Akolkar, SV; Nagargoje, AA; Khedkar, VM; Sarkar, D; Shingate, BB</t>
  </si>
  <si>
    <t>Tetrazoloquinoline-1,2,3-Triazole Derivatives as Antimicrobial Agents: Synthesis, Biological Evaluation and Molecular Docking Study</t>
  </si>
  <si>
    <t>Allami, KKJ; Almaqtari, FA; Al-Hattami, HM; Sapra, R</t>
  </si>
  <si>
    <t>Factors associated with the intention to use information technology in audit in Iraq</t>
  </si>
  <si>
    <t>Deshmukh, TR; Khare, SP; Krishna, VS; Sriram, D; Sangshetti, JN; Bhusnure, O; Khedkar, VM; Shingate, BB</t>
  </si>
  <si>
    <t>Design and Synthesis of New Aryloxy-linked Dimeric 1,2,3-Triazoles via Click Chemistry Approach: Biological Evaluation and Molecular Docking Study</t>
  </si>
  <si>
    <t>2050-7488</t>
  </si>
  <si>
    <t>Upadhye, DS; Dive, AS; Birajadar, RB; Bagul, SB; Gattu, KP; Sharma, R</t>
  </si>
  <si>
    <t>Low-concentration ammonia gas sensing using polyaniline nanofiber thin film grown by rapid polymerization technique</t>
  </si>
  <si>
    <t>Kulkarni, SS; Bodkhe, GA; Sayyad, PW; Deshmukh, MA; Hussaini, SS; Shirsat, MD</t>
  </si>
  <si>
    <t>Optimization of Aluminium Doping Concentration in Titanium Dioxide Nanoparticles Photo Anode for Enhancing Efficiency of Dye-Sensitized Solar Cell</t>
  </si>
  <si>
    <t>Abdo, MS; Panchal, SK; Hussien, HS</t>
  </si>
  <si>
    <t>Fractional Integro-Differential Equations with Nonlocal Conditions and ψ-Hilfer Fractional Derivative</t>
  </si>
  <si>
    <t>1522-7235</t>
  </si>
  <si>
    <t>VILNIUS GEDIMINAS TECH UNIV</t>
  </si>
  <si>
    <t>Al-Hattami, HM; Senan, NAM; Al-Hakimi, MA; Azharuddin, S</t>
  </si>
  <si>
    <t>An empirical examination of AIS success at the organizational level in the era of COVID-19 pandemic</t>
  </si>
  <si>
    <t>0013-4651</t>
  </si>
  <si>
    <t>Fati, SM; Senan, EM; Azar, AT</t>
  </si>
  <si>
    <t>EUROPEAN JOURNAL OF MEDICINAL CHEMISTRY REPORTS</t>
  </si>
  <si>
    <t>Hybrid and Deep Learning Approach for Early Diagnosis of Lower Gastrointestinal Diseases</t>
  </si>
  <si>
    <t>1463-9076</t>
  </si>
  <si>
    <t>Almalahi, MA; Panchal, SK; Jarad, F</t>
  </si>
  <si>
    <t>ECS JOURNAL OF SOLID STATE SCIENCE AND TECHNOLOGY</t>
  </si>
  <si>
    <t>Results on Implicit Fractional Pantograph Equations with Mittag-Leffler Kernel and Nonlocal Condition</t>
  </si>
  <si>
    <t>Jadhav, GL; Khirade, PP; Chavan, AR; Kale, CM; Jadhav, KM</t>
  </si>
  <si>
    <t>Structural, Optical and Magnetic Properties of Diamagnetic Cd2+ Incorporated Cobalt Ferrite Thin Films Deposited by Spray Pyrolysis</t>
  </si>
  <si>
    <t>Abood, BN; Redhwan, SS; Bazighifan, O; Nonlaopon, K</t>
  </si>
  <si>
    <t>JOURNAL OF MATERIALS SCIENCE</t>
  </si>
  <si>
    <t>Investigating a Generalized Fractional Quadratic Integral Equation</t>
  </si>
  <si>
    <t>Digraskar, RV; Mali, SM; Tayade, SB; Ghule, AV; Sathe, BR</t>
  </si>
  <si>
    <t>Overall noble metal free Ni and Fe doped Cu2 ZnSnS4 (CZTS) bifunctional electrocatalytic systems for enhanced water splitting reactions</t>
  </si>
  <si>
    <t>Alkahtani, H; Ahmed, ZAT; Aldhyani, THH; Jadhav, ME; Alqarni, AA</t>
  </si>
  <si>
    <t>Deep Learning Algorithms for Behavioral Analysis in Diagnosing Neurodevelopmental Disorders</t>
  </si>
  <si>
    <t>Gunaseelan, H; Munde, AV; Patel, R; Sathe, BR</t>
  </si>
  <si>
    <t>JOURNAL OF TAIBAH UNIVERSITY FOR SCIENCE</t>
  </si>
  <si>
    <t>Metal-organic framework derived carbon-based electrocatalysis for hydrogen evolution reactions: A review</t>
  </si>
  <si>
    <t>1661-6596</t>
  </si>
  <si>
    <t>Salunke, AS; Nile, SH; Kharat, AS</t>
  </si>
  <si>
    <t>A comparative study on fibrinolytic enzymes extracted from six Bacillus spp. isolated from fruit-vegetable waste biomass</t>
  </si>
  <si>
    <t>1381-1991</t>
  </si>
  <si>
    <t>Meer, BB; Sharma, D; Tak, S; Tarkas, HS; Bisen, GG; Patil, SS; Sali, JV; Shirsat, MD; Girija, KG; Ghosh, SS</t>
  </si>
  <si>
    <t>Effect of Phosphorescent and TADF Guests on the Absorption, Emission, and Nanoscale Morphological Properties of Thin Emissive Layer</t>
  </si>
  <si>
    <t>0250-6335</t>
  </si>
  <si>
    <t>Al-Qadsy, I; Saeed, WS; Al-Odayni, AB; Al-Faqeeh, LAS; Alghamdi, AA; Farooqui, M</t>
  </si>
  <si>
    <t>Novel Metformin-Based Schiff Bases: Synthesis, Characterization, and Antibacterial Evaluation</t>
  </si>
  <si>
    <t>Kulkarni, SS; Bodkhe, GA; Shirsat, SM; Hussaini, SS; Shejwal, NN; Shirsat, MD</t>
  </si>
  <si>
    <t>Dye sensitized solar cell based on environmental friendly eosin Y dye and Al doped titanium dioxide nano particles</t>
  </si>
  <si>
    <t>Shaikh, MA; Anpat, SM; Dongare, AK; Khirade, PW; Sayyad, SB</t>
  </si>
  <si>
    <t>Microwave spectroscopy modelling for geophysical parameter retrieval using synthetic aperture radar (SAR) dataset</t>
  </si>
  <si>
    <t xml:space="preserve"> 0975-0959</t>
  </si>
  <si>
    <t>NISCAIR-CSIR, India</t>
  </si>
  <si>
    <t>https://nopr.niscpr.res.in/handle/123456789/44200</t>
  </si>
  <si>
    <t>Dive, AS; Gattu, KP; Huse, NP; Upadhayay, DR; Phase, DM; Sharma, RB</t>
  </si>
  <si>
    <t>Single step chemical growth of ZnMgS nanorod thin film and its DFT study</t>
  </si>
  <si>
    <t>Mali, SM; Narwade, SS; Navale, YH; Tayade, SB; Digraskar, RV; Patil, VB; Kumbhar, AS; Sathe, BR</t>
  </si>
  <si>
    <t>Heterostructural CuO-ZnO Nanocomposites: A Highly Selective Chemical and Electrochemical NO2 Sensor</t>
  </si>
  <si>
    <t>Khawal, HA; Mote, VD; Asokan, K; Dole, BN</t>
  </si>
  <si>
    <t>Formation of defect, oxygen vacancy creation, and shifting of phonon mode by Li3+ swift heavy ion irradiation on Zn1-x Mn x O thin films</t>
  </si>
  <si>
    <t>0946-672X</t>
  </si>
  <si>
    <t>THIN SOLID FILMS</t>
  </si>
  <si>
    <t>Physicochemical Analysis of Zinc Oxide Nanodispersion in Folic Acid Solution at T=303.15 K</t>
  </si>
  <si>
    <t>Almalahi, MA; Panchal, SK; Aljaaidi, TA; Jarad, F</t>
  </si>
  <si>
    <t>New results for a coupled system of ABR fractional differential equations with sub-strip boundary conditions</t>
  </si>
  <si>
    <t>Design and optimization of microheater for smart gas sensor applications</t>
  </si>
  <si>
    <t>1741-427X</t>
  </si>
  <si>
    <t>Subhedar, DD; Shaikh, MH; Nagargoje, AA; Sarkar, D; Khedkar, VM; Shingate, BB</t>
  </si>
  <si>
    <t>[DBUH][OAc]-Catalyzed Domino Synthesis of Novel Benzimidazole Incorporated 3,5-Bis (Arylidene)-4-Piperidones as Potential Antitubercular Agents</t>
  </si>
  <si>
    <t>Deshmukh, MA; Celiesiute, R; Ramanaviciene, A; Shirsat, MD; Ramanavicius, A</t>
  </si>
  <si>
    <t>EDTA_PANI/SWCNTs nanocomposite modified electrode for electrochemical determination of copper (II), lead (II) and mercury (II) ions</t>
  </si>
  <si>
    <t>Al-Qadsy, I; Saeed, WS; Al-Owais, AA; Semlali, A; Alrabie, A; Al-Faqeeh, LAS; Alsaeedy, M; Al-Adhreai, A; Al-Odayni, AB; Farooqui, M</t>
  </si>
  <si>
    <t>Antimicrobial Activity of Novel Ni(II) and Zn(II) Complexes with (E)-2-((5-Bromothiazol-2-yl)imino)methyl)phenol Ligand: Synthesis, Characterization and Molecular Docking Studies</t>
  </si>
  <si>
    <t>Al-Hattami, HM; Abdullah, AAAH; Kabra, JD; Alsoufi, MAZ; Gaber, MMA; Shuraim, AMA</t>
  </si>
  <si>
    <t>Effect of AIS on planning process effectiveness: a case of SMEs in a less developed nation</t>
  </si>
  <si>
    <t>Tiwari, SV; Sarkate, AP; Lokwani, DK; Pansare, DN; Gattani, SG; Sheaikh, SS; Jain, SP; Bhandari, SV</t>
  </si>
  <si>
    <t>Explorations of novel pyridine-pyrimidine hybrid phosphonate derivatives as aurora kinase inhibitors</t>
  </si>
  <si>
    <t>1610-3653</t>
  </si>
  <si>
    <t>Raithak, PV; Dhabe, AS; Atkore, ST; Alam, MM; Kotra, V; Varala, R</t>
  </si>
  <si>
    <t>Indian Journal of Heterocyclic Chemistry</t>
  </si>
  <si>
    <t>Synergetic Catalytic Bleaching Earth Clay and PEG-400 for Rapid Synthesis of Polyhydroquinoline Derivatives and Their 2,2-Diphyenyl-1-picrylhydrazyl Radical Scavenging Activity</t>
  </si>
  <si>
    <t>CONNECT JOURNALS</t>
  </si>
  <si>
    <t>https://www.researchgate.net/publication/377473934_Synergetic_Catalytic_Bleaching_Earth_Clay_and_PEG-400_for_Rapid_Synthesis_of_Polyhydroquinoline_Derivatives_and_Their_22-_Diphyenyl-1-picrylhydrazyl_Radical_Scavenging_Activity</t>
  </si>
  <si>
    <t>Somvanshi, SB; Jadhav, SA; Gawali, SS; Zakde, K; Jadhav, KM</t>
  </si>
  <si>
    <t>Core-shell structured superparamagnetic Zn-Mg ferrite nanoparticles for magnetic hyperthermia applications</t>
  </si>
  <si>
    <t>Shaikh, SM; Yadav, VK; Mali, G; Bondle, GM; Kumar, A; Erande, RD; Bhattacharyya, S; Bhosle, MR</t>
  </si>
  <si>
    <t>Convenient multicomponent synthesis of furo[3,2-c]coumarins in the promoting medium DIPEAc and assessment of their therapeutic potential through in silico pharmacophore based target screening</t>
  </si>
  <si>
    <t>1066-7857</t>
  </si>
  <si>
    <t>LUMINESCENCE</t>
  </si>
  <si>
    <t>Stability results of positive solutions for a system of ψ -Hilfer fractional differential equations</t>
  </si>
  <si>
    <t>2008-9295</t>
  </si>
  <si>
    <t>Shisode, MV; Kounsalye, JS; Humbe, AV; Kambale, RC; Jadhav, KM</t>
  </si>
  <si>
    <t>JOURNAL OF THE ELECTROCHEMICAL SOCIETY</t>
  </si>
  <si>
    <t>Investigations of magnetic and ferroelectric properties of multiferroic Sr-doped bismuth ferrite</t>
  </si>
  <si>
    <t>0927-7757</t>
  </si>
  <si>
    <t>More, CV; Akman, F; Dilsiz, K; Ogul, H; Pawar, PP</t>
  </si>
  <si>
    <t>PHYSICAL CHEMISTRY CHEMICAL PHYSICS</t>
  </si>
  <si>
    <t>Estimation of neutron and gamma-ray attenuation characteristics of some ferrites: Geant4, FLUKA and WinXCom studies</t>
  </si>
  <si>
    <t>Gopale, SB; Khedkar, MV; Jadhav, SA; Raut, AV; Karad, SS; Kulkarni, GD; Jadhav, KM</t>
  </si>
  <si>
    <t>Influence of Al3+-Gd3+ co-substitution on the structural, morphological, magnetic and optical properties of nickel ferrite nanoparticles</t>
  </si>
  <si>
    <t>0021-9258</t>
  </si>
  <si>
    <t>Kazi, SK; Inamdar, SN; Kamble, DP; Lohar, KS; Suryawanshi, AW; Tigote, RM</t>
  </si>
  <si>
    <t>Structural studies of silica-supported spinel magnesium ferrite nanorods for photocatalytic degradation of methyl orange</t>
  </si>
  <si>
    <t>Patil, MR; Keche, AP; Babrekar, MK; Raut, AV; Shengule, DR; Jadhav, KM</t>
  </si>
  <si>
    <t>Structural, morphological, and DC-electrical examination of Ni1-xCdxFe2O4 nanoparticles fabricated via Sol-gel auto-combustion</t>
  </si>
  <si>
    <t>Bhosle, MR; Kharote, SA; Bondle, GM; Sangshetti, JN; Ansari, SA; Alkahtani, HM</t>
  </si>
  <si>
    <t>Organocatalyzed Domino Synthesis of New Thiazole-Based Decahydroacridine-1,8-diones and Dihydropyrido[2,3-d: 6,5-d′]- dipyrimidines in Water as Antimicrobial Agents</t>
  </si>
  <si>
    <t>1369-8001</t>
  </si>
  <si>
    <t>Pungle, R; Nile, SH; Kharat, AS</t>
  </si>
  <si>
    <t>Green synthesis and characterization of Solanum xanthocarpum capped silver nanoparticles and its antimicrobial effect on multidrug-resistant bacterial (MDR) isolates</t>
  </si>
  <si>
    <t>Botewad, SN; Pahurkar, VG; Muley, GG; Gaikwad, DK; Bodkhe, GA; Shirsat, MD; Pawar, PP</t>
  </si>
  <si>
    <t>INTERNATIONAL JOURNAL OF MOLECULAR SCIENCES</t>
  </si>
  <si>
    <t>PANI-ZnO Cladding-Modified Optical Fiber Biosensor for Urea Sensing Based on Evanescent Wave Absorption</t>
  </si>
  <si>
    <t>Mahajan, S; Stathatos, E; Huse, N; Birajdar, R; Kalarakis, A; Sharma, R</t>
  </si>
  <si>
    <t>MOLECULAR DIVERSITY</t>
  </si>
  <si>
    <t>Low cost nanostructure kesterite CZTS thin films for solar cells application</t>
  </si>
  <si>
    <t>1773-2247</t>
  </si>
  <si>
    <t>Deshmukh, MA; Park, SJ; Thorat, HN; Bodkhe, GA; Ramanavicius, A; Ramanavicius, S; Shirsat, MD; Ha, TJ</t>
  </si>
  <si>
    <t>JOURNAL OF ASTROPHYSICS AND ASTRONOMY</t>
  </si>
  <si>
    <t>Advanced energy materials: Current trends and challenges in electro- and photo-catalysts for H2O splitting</t>
  </si>
  <si>
    <t>0022-3697</t>
  </si>
  <si>
    <t>Multipoint BVP for the Langevin Equation under φ-Hilfer Fractional Operator</t>
  </si>
  <si>
    <t>Dake, DV; Raskar, ND; Mane, VA; Sonpir, RB; Khawal, HA; Deshpande, U; Stathatos, E; Dole, BN</t>
  </si>
  <si>
    <t>Photocatalytic performance of graphene-based Cr-substituted β ZnS nanocomposites</t>
  </si>
  <si>
    <t>Sayyad, PW; Sontakke, KS; Farooqui, AA; Shirsat, SM; Tsai, ML; Shirsat, MD</t>
  </si>
  <si>
    <t>A novel three-dimensional electrochemical Cd(II) biosensor based on L-glutathione capped poly(3,4-ethylenedioxythiophene):polystyrene sulfonate/carboxylated multiwall CNT network</t>
  </si>
  <si>
    <t>VIETNAM NATL UNIV</t>
  </si>
  <si>
    <t>Mote, RD; Laxmikant, VS; Singh, SB; Tiwari, M; Singh, H; Srivastava, J; Tripathi, V; Seshadri, V; Majumdar, A; Subramanyam, D</t>
  </si>
  <si>
    <t>A cost-effective and efficient approach for generating and assembling reagents for conducting real-time PCR</t>
  </si>
  <si>
    <t>Senan, EM; Alsaade, FW; Al-mashhadani, MIA; Aldhyani, THH; Al-Adhaileh, MH</t>
  </si>
  <si>
    <t>Classification of Histopathological Images for Early Detection of Breast Cancer Using Deep Learning</t>
  </si>
  <si>
    <t>Shaikh, MH; Subhedar, DD; Nawale, L; Sarkar, D; Khan, FAK; Sangshetti, JN; Shingate, BB</t>
  </si>
  <si>
    <t>JOURNAL OF TRACE ELEMENTS IN MEDICINE AND BIOLOGY</t>
  </si>
  <si>
    <t>Novel Benzylidenehydrazide-1,2,3-Triazole Conjugates as Antitubercular Agents: Synthesis and Molecular Docking</t>
  </si>
  <si>
    <t>Ramanavicius, A; Deshmukh, MA; Bagdziunas, G; Shirsat, MD; Ramanaviciene, A</t>
  </si>
  <si>
    <t>2018 IEEE 8th International Conference Nanomaterials: Application &amp; Properties (NAP)</t>
  </si>
  <si>
    <t>Synthesis of a Conducting Polymer - Polyaniline - based Layers Suitable for the Application in Electrochromic Sensors</t>
  </si>
  <si>
    <t>978-1-5386-5333-3</t>
  </si>
  <si>
    <t>https://doi.org/10.1109/NAP.2018.8915320</t>
  </si>
  <si>
    <t>Pund, AA; Gaikwad, ST; Farooqui, M; Pund-Nale, RA; Shaikh, MH; Magare, BK</t>
  </si>
  <si>
    <t>Synthesis and Biological Evaluation of Novel Asymmetric (E)-3-(4-(Benzyloxy) Phenyl)-2-((Substituted Benzylidene) Amino)-1-(Thiazolidin-3-yl) Propan-1-One and Computational Validation by Molecular Docking and QSTR Studies</t>
  </si>
  <si>
    <t>1566-7367</t>
  </si>
  <si>
    <t>Danne, AB; Choudhari, AS; Sarkar, D; Sangshetti, JN; Khedkar, VM; Shingate, BB</t>
  </si>
  <si>
    <t>EVIDENCE-BASED COMPLEMENTARY AND ALTERNATIVE MEDICINE</t>
  </si>
  <si>
    <t>Synthesis and biological evaluation of novel triazole-biscoumarin conjugates as potential antitubercular and anti-oxidant agents</t>
  </si>
  <si>
    <t>Nagargoje, AA; Akolkar, SV; Shaikh, MH; Akolkar, HKN; Raut, DN; Pisal, PM; Khedkar, VM; Shingate, BB</t>
  </si>
  <si>
    <t>Investigation of the Anti-inflammatory potential of Mono-carbonyl Analogues of Curcumin</t>
  </si>
  <si>
    <t>Akolkar, SV; Shaikh, MH; Bhalmode, MK; Pawar, PU; Sangshetti, JN; Damale, MG; Shingate, BB</t>
  </si>
  <si>
    <t>Click chemistry inspired syntheses of new amide linked 1,2,3-triazoles from naphthols: biological evaluation and in silico computational study</t>
  </si>
  <si>
    <t>More, CV; Botewad, SN; Akman, F; Agar, O; Pawar, PP</t>
  </si>
  <si>
    <t>UPR/Titanium dioxide nanocomposite: Preparation, characterization and application in photon/neutron shielding</t>
  </si>
  <si>
    <t>Assessment of physicochemical properties of nanoceria dispersed in aqueous surfactant at 298.15 K</t>
  </si>
  <si>
    <t>1319-562X</t>
  </si>
  <si>
    <t>Mali, G; Shaikh, BA; Garg, S; Kumar, A; Bhattacharyya, S; Erande, RD; Chate, AV</t>
  </si>
  <si>
    <t>ENVIRONMENTAL CHEMISTRY LETTERS</t>
  </si>
  <si>
    <t>Design, Synthesis, and Biological Evaluation of Densely Substituted Dihydropyrano[2,3-c]pyrazoles via a Taurine-Catalyzed Green Multicomponent Approach</t>
  </si>
  <si>
    <t>1319-6103</t>
  </si>
  <si>
    <t>Al-Swidi, AK; Al-Hakimi, MA; Alyahya, MS</t>
  </si>
  <si>
    <t>Green innovation for sustainable development: leveraging green knowledge integration, blockchain technology and green supply chain integration</t>
  </si>
  <si>
    <t>2008-3289</t>
  </si>
  <si>
    <t>Danne, AB; Deshpande, MV; Sangshetti, JN; Khedkar, VM; Shingate, BB</t>
  </si>
  <si>
    <t>New 1,2,3-Triazole-Appended Bis-pyrazoles: Synthesis, Bioevaluation, and Molecular Docking</t>
  </si>
  <si>
    <t>Deshmukh, MA; Patil, HK; Bodkhe, GA; Yasuzawa, M; Koinkar, P; Ramanaviciene, A; Shirsat, MD; Ramanavicius, A</t>
  </si>
  <si>
    <t>MATERIALS TECHNOLOGY</t>
  </si>
  <si>
    <t>EDTA-modified PANI/SWNTs nanocomposite for differential pulse voltammetry based determination of Cu(II) ions</t>
  </si>
  <si>
    <t>Devmunde, BH; Nandagawali, DP; Badhe, SG; Aepurwar, DN; Raut, AV; Shukla, SJ</t>
  </si>
  <si>
    <t>INTERNATIONAL NANO LETTERS</t>
  </si>
  <si>
    <t>Synthesis, cation distribution, morphology, and physicochemical properties of Ni1-xCdxFe2O4 NPs</t>
  </si>
  <si>
    <t>1018-3647</t>
  </si>
  <si>
    <t>Mohammed, IMS; Gubari, GMM; Huse, NP; Dive, AS; Han, SH; Sharma, R</t>
  </si>
  <si>
    <t>COLLOIDS AND SURFACES A-PHYSICOCHEMICAL AND ENGINEERING ASPECTS</t>
  </si>
  <si>
    <t>Effect of Cd/S ratio on growth and physical properties of CdS thin films for photosensor application</t>
  </si>
  <si>
    <t>Shaikh, RN; Anis, M; Shirsat, MD; Hussaini, SS</t>
  </si>
  <si>
    <t>Systematic analysis on linear and nonlinear optical traits of citrulline doped NH4H2PO4 (ADP) crystal</t>
  </si>
  <si>
    <t>ELSEVIER GMBH, URBAN &amp; FISCHER VERLAG</t>
  </si>
  <si>
    <t>Rushi, A; Datta, K; Ghosh, P; Mulchandani, A; Shirsat, M</t>
  </si>
  <si>
    <t>JOURNAL OF BIOLOGICAL CHEMISTRY</t>
  </si>
  <si>
    <t>Tuning Coating Thickness of Iron Tetraphenyl Porphyrin on Single Walled Carbon Nanotubes by Annealing: Effect on Benzene Sensing Performance</t>
  </si>
  <si>
    <t>2391-5420</t>
  </si>
  <si>
    <t>Mohammed, HY; Farea, MA; Sayyad, PW; Ingle, NN; Al-Gahouari, T; Mahadik, MM; Bodkhe, GA; Shirsat, SM; Shirsat, MD</t>
  </si>
  <si>
    <t>Selective and sensitive chemiresistive sensors based on polyaniline/graphene oxide nanocomposite: A cost-effective approach</t>
  </si>
  <si>
    <t>Borade, RM; Somvanshi, SB; Kale, SB; Pawar, RP; Jadhav, KM</t>
  </si>
  <si>
    <t>RETRACTED: Spinel zinc ferrite nanoparticles: an active nanocatalyst for microwave irradiated solvent free synthesis of chalcones (Retracted Article)</t>
  </si>
  <si>
    <t>0928-0707</t>
  </si>
  <si>
    <t>IOP Publishing Ltd</t>
  </si>
  <si>
    <t>Raut, SD; Awasarmol, VV; Shaikh, SF; Ghule, BG; Ekar, SU; Mane, RS; Pawar, PP</t>
  </si>
  <si>
    <t>MATERIALS SCIENCE IN SEMICONDUCTOR PROCESSING</t>
  </si>
  <si>
    <t>Study of gamma ray energy absorption and exposure buildup factors for ferrites by geometric progression fitting method</t>
  </si>
  <si>
    <t>Xue, L; Gong, X; Shen, YY; Panchal, B; Wang, CJ; Wang, YL</t>
  </si>
  <si>
    <t>Resource Configuration for Throughput Maximization in UAV-WPCN With Intelligent Reflecting Surface</t>
  </si>
  <si>
    <t>Oman, HS; Kharat, AA; Phatak, PS; Haval, KP; Kulkarni, JA; Kakde, GS; Kharat, KR; Kadam, DG; Kharat, AS</t>
  </si>
  <si>
    <t>Synthesis and evaluation of 1, 2, 3-triazole benzoate derivatives for inhibition of serine β-lactamases in extensively drug resistant pathogenic E. coli strains</t>
  </si>
  <si>
    <t>Patil, SS; Deore, KB; Narwade, VN; Peng, WP; Hianik, T; Shirsat, MD</t>
  </si>
  <si>
    <t>JOURNAL OF DRUG DELIVERY SCIENCE AND TECHNOLOGY</t>
  </si>
  <si>
    <t>Ultrasensitive and Selective Electrochemical Sensor Based on Yttrium Benzenetricarboxylate Porous Coordination Polymer (Y-BTC) for Detection of Pb2+ from Bio-Analytes</t>
  </si>
  <si>
    <t>2574-0962</t>
  </si>
  <si>
    <t>ELECTROCHEMICAL SOC INC</t>
  </si>
  <si>
    <t>Undre, PG; Humbe, AV; Kounsalye, JS; Kumar, A; Kathare, RV; Jadhav, KM</t>
  </si>
  <si>
    <t>JOURNAL OF PHYSICS AND CHEMISTRY OF SOLIDS</t>
  </si>
  <si>
    <t>Diamagnetic Al3+ Doped Ni-Zn Spinel Ferrite: Rietveld Refinement, Elastic, Magnetic, Mossbauer, and Electrical Explorations</t>
  </si>
  <si>
    <t>Bodkhe, GA; Hedau, BS; Deshmukh, MA; Patil, HK; Shirsat, SM; Phase, DM; Pandey, KK; Shirsat, MD</t>
  </si>
  <si>
    <t>Selective and sensitive detection of lead Pb(II) ions: Au/SWNT nanocomposite-embedded MOF-199</t>
  </si>
  <si>
    <t>Raskar, N; Dake, D; Khawal, H; Deshpande, U; Asokan, K; Dole, B</t>
  </si>
  <si>
    <t>Development of oxygen vacancies and surface defects in Mn-doped ZnO nanoflowers for enhancing visible light photocatalytic activity</t>
  </si>
  <si>
    <t>Al-horaibi, SA; Asiri, AM; El-Shishtawy, RM; Gaikwad, ST; Rajbhoj, AS</t>
  </si>
  <si>
    <t>Synthesis and characterization of new squaraine dyes with bis-pendent carboxylic groups for dye-sensitized solar cells</t>
  </si>
  <si>
    <t>Shelke, RN; Pansare, DN; Sarkate, AP; Karnik, KS; Sarkate, AP; Shinde, DB; Thopate, SR</t>
  </si>
  <si>
    <t>Synthesis of (Z)-5-(substituted benzylidene)-2-((substituted phenyl) amino)thiazol-4(5H)-one analogues with antitubercular activity</t>
  </si>
  <si>
    <t>Kulkarni, GD; Khedkar, MV; Somvanshi, SB; Borade, RM; More, SD; Jadhav, KM</t>
  </si>
  <si>
    <t>Green synthesis and investigations of structural, cation distribution, morphological, and magnetic properties of nanoscale nickel ferrites: the effect of green fuel proportion</t>
  </si>
  <si>
    <t>Raskar, ND; Dake, DV; Mane, VA; Stathatos, E; Deshpande, U; Dole, B</t>
  </si>
  <si>
    <t>One step synthesis of vertically grown Mn-doped ZnO nanorods for photocatalytic application</t>
  </si>
  <si>
    <t>0149-1970</t>
  </si>
  <si>
    <t>Rushi, AD; Datta, KP; Ghosh, P; Mulchandani, A; Shirsat, MD</t>
  </si>
  <si>
    <t>BIOSENSORS &amp; BIOELECTRONICS</t>
  </si>
  <si>
    <t>Exercising substituents in porphyrins for real time selective sensing of volatile organic compounds</t>
  </si>
  <si>
    <t>Tonpe, DA; Gattu, KP; Kutwade, VV; Sonawane, ME; Sharma, MC; Jang, H; Han, SH; Sharma, R</t>
  </si>
  <si>
    <t>CATALYSIS COMMUNICATIONS</t>
  </si>
  <si>
    <t>ZnS-PANI nanocomposite with enhanced electrochemical performances for lithium-ion batteries</t>
  </si>
  <si>
    <t>Somwanshi, SB; Somvanshi, SB; Kharat, PB; Thorat, ND</t>
  </si>
  <si>
    <t>CATALYSTS</t>
  </si>
  <si>
    <t>Magnetically Retrievable Fe-doped TiO2 Nanoparticles for Photo-induced Toxic Dye Removal Applications</t>
  </si>
  <si>
    <t>Indoline and benzothiazole-based squaraine dye-sensitized solar cells containing bis-pendent sulfonate groups: Synthesis, characterization and solar cell performance</t>
  </si>
  <si>
    <t>Raut, SD; Awasarmol, VV; Gghule, B; Shaikh, SF; Gore, SK; Sharma, RP; Pawar, PP; Mane, RS</t>
  </si>
  <si>
    <t>DISCOVER NANO</t>
  </si>
  <si>
    <t>γ-irradiation induced zinc ferrites and their enhanced room-temperature ammonia gas sensing properties</t>
  </si>
  <si>
    <t>0020-1669</t>
  </si>
  <si>
    <t>Shinde, RB; Pansare, DN; Shelke, RN; Bangal, MN; Sarkate, AP; Tiwari, SV; Kamble, D; Chavan, P; Zine, AM</t>
  </si>
  <si>
    <t>Synthesis of (Z)-5-((Substituted-2-(substituted phenyl)-quinoline-3-yl)methylene) Thiazolidinone as Antimicrobial and Anticancer Agent</t>
  </si>
  <si>
    <t>Sonkawade, RG; Waikar, MR; Shaikh, AA; Shirsat, MD; Ali, Y; Chakarvarti, SK</t>
  </si>
  <si>
    <t>SAUDI JOURNAL OF BIOLOGICAL SCIENCES</t>
  </si>
  <si>
    <t>Effect of low energy Li-negative ions irradiation on electrochemically synthesized Copper nanoflakes/Polyaniline nanofibers composite thin film</t>
  </si>
  <si>
    <t>Patil, PD; Birajdar, CT; Alwesabi, WA; Panchariya, PK; Raut, AV; Jadhav, KM; Kavade, RB</t>
  </si>
  <si>
    <t>JOURNAL OF SAUDI CHEMICAL SOCIETY</t>
  </si>
  <si>
    <t>Decolonization of MB Dye (C16H18CIN3S) under the Natural Light Using Pristine and Zn-Y Substituted CoFe2O4 as a Catalyst</t>
  </si>
  <si>
    <t>Deshmukh, MA; Bodkhe, GA; Shirsat, S; Ramanavicius, A; Shirsat, MD</t>
  </si>
  <si>
    <t>IRANIAN JOURNAL OF MICROBIOLOGY</t>
  </si>
  <si>
    <t>Nanocomposite Platform Based on EDTA Modified Ppy/SWNTs for the Sensing of Pb(II) Ions by Electrochemical Method</t>
  </si>
  <si>
    <t>0926-3373</t>
  </si>
  <si>
    <t>Transfiguring structural, optical and dielectric properties of cadmium thiourea acetate crystal by the addition of L-threonine for laser assisted device applications</t>
  </si>
  <si>
    <t>1385-8947</t>
  </si>
  <si>
    <t>Al-Adhreai, A; ALSaeedy, M; Alrabie, A; Al-Horaibi, SA; Al-Qadsy, I; Alezzy, AA; AL-Odayni, AB; Saeed, WS; Farooqui, M</t>
  </si>
  <si>
    <t>Enhanced synthesis of novel multisubstituted isoxazolidines as potential antimicrobial and antioxidant agents using zinc (II) catalyst, and in silico studies</t>
  </si>
  <si>
    <t>Patil, MR; Keche, AP; Khirade, PP; Raut, AV; Pandit, AA; Jadhav, KM</t>
  </si>
  <si>
    <t>Structural, morphological, and electrical investigation of 50 Mrad ?-radiated Ni1-xCdxFe2O4 nanoparticles</t>
  </si>
  <si>
    <t>0267-6192</t>
  </si>
  <si>
    <t>Farea, MA; Mohammed, HY; Sayyad, PW; Ingle, NN; Al-Gahouari, T; Mahadik, MM; Bodkhe, GA; Shirsat, SM; Shirsat, MD</t>
  </si>
  <si>
    <t>Carbon monoxide sensor based on polypyrrole-graphene oxide composite: a cost-effective approach</t>
  </si>
  <si>
    <t>Al-Gahouari, T; Sayyad, P; Ingle, N; Mahadik, M; Farea, M; Mohammed, F; Shirsat, S; Shirsat, M</t>
  </si>
  <si>
    <t>Resolution improvement for anodic stripping signals of lead and detached indium from reduced graphene oxide/indium tin oxide (rGO/ITO) electrode using bromide ion</t>
  </si>
  <si>
    <t>Kim, A; Oh, SH; Adhikari, A; Sathe, BR; Kumar, S; Patel, R</t>
  </si>
  <si>
    <t>OPEN CHEMISTRY</t>
  </si>
  <si>
    <t>Recent advances in modified commercial separators for lithium-sulfur batteries</t>
  </si>
  <si>
    <t>Deshmukh, TR; Khedkar, VM; Jadhav, RG; Sarkate, AP; Sangshetti, JN; Tiwari, SV; Shingate, BB</t>
  </si>
  <si>
    <t>A copper-catalyzed synthesis of aryloxy-tethered symmetrical 1,2,3-triazoles as potential antifungal agents targeting 14 α-demethylase</t>
  </si>
  <si>
    <t>2040-2295</t>
  </si>
  <si>
    <t>Jebamani, J; Praneshm, SJ; Shivalingappa, J; Narayanarao, M; Pasha, M; Pawar, C</t>
  </si>
  <si>
    <t>JOURNAL OF SOL-GEL SCIENCE AND TECHNOLOGY</t>
  </si>
  <si>
    <t>Synthesis and Biological Activities of Novel 1H-Imidazo[4,5-b]pyridine Derivatives</t>
  </si>
  <si>
    <t>Bobade, DS; Parauha, YR; Dhoble, SJ; Undre, PB</t>
  </si>
  <si>
    <t>Study on luminescence properties of Ce3+ and Eu3+ ions in a nanocrystalline hexagonal Zn4Al22O37 novel system</t>
  </si>
  <si>
    <t>Mohammed, HY; Farea, MA; Ingle, NN; Sayyad, PW; Al-Gahouari, T; Mahadik, MM; Bodkhe, GA; Shirsat, SM; Shirsat, MD</t>
  </si>
  <si>
    <t>Review-Electrochemical Hydrazine Sensors Based on Graphene Supported Metal/Metal Oxide Nanomaterials</t>
  </si>
  <si>
    <t>0022-3727</t>
  </si>
  <si>
    <t>Gawai, UP; Gaikwad, DK; Bodke, MR; Khawal, HA; Pandey, KK; Yadav, AK; Jha, SN; Bhattacharyya, D; Dole, BN</t>
  </si>
  <si>
    <t>Doping effect on the local structure of metamagnetic Co doped Ni/NiO:GO core-shell nanoparticles using X-ray absorption spectroscopy and the pair distribution function</t>
  </si>
  <si>
    <t>Tanwade, PD; Munde, AV; Mulik, BB; Adhikari, A; Patel, R; Sathe, BR</t>
  </si>
  <si>
    <t>NiO-Nanoparticle-Embedded Polyaniline for Enhanced Ammonia and Water Oxidation Reactions</t>
  </si>
  <si>
    <t>0301-0104</t>
  </si>
  <si>
    <t>Nagargoje, AA; Akolkar, SV; Siddiqui, MM; Bagade, AV; Kodam, KM; Sangshetti, JN; Damale, MG; Shingate, BB</t>
  </si>
  <si>
    <t>Synthesis and evaluation of pyrazole-incorporated monocarbonyl curcumin analogues as antiproliferative and antioxidant agents</t>
  </si>
  <si>
    <t>0379-6779</t>
  </si>
  <si>
    <t>Deshmukh, S; Mohod, A; Pattebahadur, K; Patil, S; Kumbharkhane, A; Khirade, P</t>
  </si>
  <si>
    <t xml:space="preserve">Physics and Chemistry of Liquids
An International Journal </t>
  </si>
  <si>
    <t>Influence of dielectric, Electro-Optic Kerr Effect and spectroscopic characterisation on polar-polar binary liquid mixture</t>
  </si>
  <si>
    <t>1029-0451</t>
  </si>
  <si>
    <t>Dofe, VS; Sarkate, AP; Tiwari, SV; Lokwani, DK; Karnik, KS; Kale, IA; Dodamani, S; Jalalpure, SS; Burra, PVLS</t>
  </si>
  <si>
    <t>Ultrasound assisted synthesis of tetrazole based pyrazolines and isoxazolines as potent anticancer agents via inhibition of tubulin polymerization</t>
  </si>
  <si>
    <t>Detection of Pb(II): Au Nanoparticle Incorporated CuBTC MOFs</t>
  </si>
  <si>
    <t>Wagh, SK; Lammers, KM; Padul, M; Rodriguez-Herrera, A; Dodero, V</t>
  </si>
  <si>
    <t>Celiac Disease and Possible Dietary Interventions: From Enzymes and Probiotics to Postbiotics and Viruses</t>
  </si>
  <si>
    <t>Thorat, NM; Sarkate, AP; Lokwani, DK; Tiwari, SV; Azad, R; Thopate, SR</t>
  </si>
  <si>
    <t>N-Benzylation of 6-aminoflavone by reductive amination and efficient access to some novel anticancer agents via topoisomerase II inhibition</t>
  </si>
  <si>
    <t>Chopade, BA</t>
  </si>
  <si>
    <t>PROGRESS IN NUCLEAR ENERGY</t>
  </si>
  <si>
    <t>Biotechnology Products in Everyday Life Foreword from Academia</t>
  </si>
  <si>
    <t>978-3-319-92399-4; 978-3-319-92398-7</t>
  </si>
  <si>
    <t>Stellar parameters of the two binary systems: HIP 14075 and HIP 14230</t>
  </si>
  <si>
    <t>Tiwari, SV; Nikalje, APG; Lokwani, DK; Sarkate, AP; Jamir, K</t>
  </si>
  <si>
    <t>Synthesis, Biological Evaluation, Molecular Docking Study and Acute Oral Toxicity Study of Coupled Imidazole-pyrimidine Derivatives</t>
  </si>
  <si>
    <t>1875-628X</t>
  </si>
  <si>
    <t>Raut, SD; Awasarmol, VV; Ghule, BG; Shaikh, SF; Gore, SK; Sharma, RP; Pawar, PP; Mane, RS</t>
  </si>
  <si>
    <t>Enhancement in room-temperature ammonia sensor activity of size-reduced cobalt ferrite nanoparticles on γ-irradiation</t>
  </si>
  <si>
    <t>Sayyed, MI; Tekin, HO; Altunsoy, EE; Obaid, SS; Almatari, M</t>
  </si>
  <si>
    <t>Radiation shielding study of tellurite tungsten glasses with different antimony oxide as transparent shielding materials using MCNPX code</t>
  </si>
  <si>
    <t>Shringare, SN; Chavan, HV; Kamble, NR; Tigote, RM; Bhale, PS; Mali, MG; Kadam, SN; Kadam, KR; Pandhare, GB; Khalifa, AN; Pendpale, NS; Kulkarni, MA; Bandgar, BP</t>
  </si>
  <si>
    <t>INORGANIC CHEMISTRY</t>
  </si>
  <si>
    <t>Design, Synthesis, and Biological Testing of Pyrazoline Derivatives of Combretastatin-A4: A Quest for Anticancer, Anti-Inflammatory, and Antioxidant Agents</t>
  </si>
  <si>
    <t>Prabhukumar, KM; Sardesai, MM; Hareesh, VS; Thomas, B; George, S; Balachandran, I</t>
  </si>
  <si>
    <t>Barleria sahyadrica, a new species of Acanthaceae from India</t>
  </si>
  <si>
    <t>Nadhe, SB; Tawre, MS; Agrawal, S; Chopade, BA; Sarkar, D; Pardesi, K</t>
  </si>
  <si>
    <t>Anticancer potential of AgNPs synthesized using Acinetobacter sp. and Curcuma aromatica against HeLa cell lines: A comparative study</t>
  </si>
  <si>
    <t>Manjul, RK; Gaikwad, ST; Gade, VB; Rajbhoj, AS; Jopale, MK; Patil, SM; Gaikwad, DN; Suryavanshi, DM; Goskulwad, SP; Shinde, SD</t>
  </si>
  <si>
    <t>MICROORGANISMS</t>
  </si>
  <si>
    <t>[EMIm][BH3CN] Ionic Liquid as an Efficient Catalyst for the Microwave-Assisted One-Pot Synthesis of Triaryl Imidazole Derivatives</t>
  </si>
  <si>
    <t>Rathod, S; Shinde, K; Porlekar, J; Choudhari, P; Dhavale, R; Mahuli, D; Tamboli, Y; Bhatia, M; Haval, KP; Al-Sehemi, AG; Pannipara, M</t>
  </si>
  <si>
    <t>APPLIED CATALYSIS B-ENVIRONMENTAL</t>
  </si>
  <si>
    <t>Computational Exploration of Anti-cancer Potential of Flavonoids against Cyclin-Dependent Kinase 8: An In Silico Molecular Docking and Dynamic Approach</t>
  </si>
  <si>
    <t>Quazi, A; Patwekar, M; Patwekar, F; Alghamdi, S; Rajab, BS; Babalghith, AO; Islam, F</t>
  </si>
  <si>
    <t>CHEMICAL ENGINEERING JOURNAL</t>
  </si>
  <si>
    <t>In Vitro Alpha-Amylase Enzyme Assay of Hydroalcoholic Polyherbal Extract: Proof of Concept for the Development of Polyherbal Teabag Formulation for the Treatment of Diabetes</t>
  </si>
  <si>
    <t>Farea, MA; Mohammed, HY; Shirsat, SM; Sayyad, PW; Ingle, NN; Al-Gahouari, T; Mahadik, MM; Bodkhe, GA; Shirsat, MD</t>
  </si>
  <si>
    <t>Hazardous gases sensors based on conducting polymer composites: Review</t>
  </si>
  <si>
    <t>COMPUTER SYSTEMS SCIENCE AND ENGINEERING</t>
  </si>
  <si>
    <t>Structural and luminescence study of Ce3+ and Eu3+ doped ZnAl12O19 nano-structured novel phosphors</t>
  </si>
  <si>
    <t>Mathapati, SR; Jadhav, AH; Swami, MB; Dawle, JK</t>
  </si>
  <si>
    <t>Zinc Sulfamate Catalyzed Efficient Selective Synthesis of Benzimidazole Derivatives Under Ambient Conditions</t>
  </si>
  <si>
    <t>γ-irradiation induced zinc ferrites and their enhanced room-temperature ammonia gas sensing properties (vol 5, 035702, 2018)</t>
  </si>
  <si>
    <t>More, CV; Alsayed, Z; Badawi, MS; Thabet, AA; Pawar, PP</t>
  </si>
  <si>
    <t>Polymeric composite materials for radiation shielding: a review</t>
  </si>
  <si>
    <t>Kokare, MK; Jadhav, NA; Kumar, Y; Jadhav, KM; Rathod, SM</t>
  </si>
  <si>
    <t>JOURNAL OF HEALTHCARE ENGINEERING</t>
  </si>
  <si>
    <t>Effect of Nd3+ doping on structural and magnetic properties of Ni0.5Co0.5Fe2O4 nanocrystalline ferrites synthesized by sol-gel auto combustion method</t>
  </si>
  <si>
    <t>Almalahi, MA; Panchal, SK; Abdo, MS; Jarad, F</t>
  </si>
  <si>
    <t>On Atangana-Baleanu-Type Nonlocal Boundary Fractional Differential Equations</t>
  </si>
  <si>
    <t>Khairnar, G; Mokale, V; Mujumdar, A; Naik, J</t>
  </si>
  <si>
    <t>Development of nanoparticulate sustained release oral drug delivery system for the antihyperglycemic with antihypertensive drug</t>
  </si>
  <si>
    <t>Sharma, RP; Raut, SD; Mulani, RM; Kadam, AS; Mane, RS</t>
  </si>
  <si>
    <t>JOURNAL OF PHYSICS D-APPLIED PHYSICS</t>
  </si>
  <si>
    <t>Sol-gel auto-combustionmediated cobalt ferrite nanoparticles: a potential material for antimicrobial applications</t>
  </si>
  <si>
    <t>Deshmukh, MA; Patil, HK; Bodkhe, GA; Yasuzawa, M; Koinkar, P; Ramanavicius, A; Pandey, S; Shirsat, MD</t>
  </si>
  <si>
    <t>EDA modified PANI/SWNTs nanocomposite for determination of Ni(II) metal ions</t>
  </si>
  <si>
    <t>Mathapati, SR; Prasad, D; Atar, AB; Nagaraja, BM; Dawle, JK; Jadhav, AH</t>
  </si>
  <si>
    <t>CHEMICAL PHYSICS</t>
  </si>
  <si>
    <t>Phosphorofluoridic Acid as an Efficient Catalyst for One Pot Synthesis of Dihydropyrimidinones under Solvent Free and Ambient Condition</t>
  </si>
  <si>
    <t>Mote, RD; Yadav, J; Singh, SB; Tiwari, M; Laxmikant, VS; Patil, S; Subramanyam, D</t>
  </si>
  <si>
    <t>SYNTHETIC METALS</t>
  </si>
  <si>
    <t>Pluripotency of embryonic stem cells lacking clathrin-mediated endocytosis cannot be rescued by restoring cellular stiffness</t>
  </si>
  <si>
    <t>AMER SOC BIOCHEMISTRY MOLECULAR BIOLOGY INC</t>
  </si>
  <si>
    <t>Bui, HT; Jang, H; Ahn, D; Han, J; Sung, M; Kutwade, V; Patil, M; Sharma, R; Han, SH</t>
  </si>
  <si>
    <t>High-performance Li-Se battery: Li2Se cathode as intercalation product of electrochemical in situ reduction of multilayer graphene-embedded 2D-MoSe2</t>
  </si>
  <si>
    <t>Thorat, NM; Khodade, VS; Ingale, AP; Lokwani, DK; Sarkate, AP; Thopate, SR</t>
  </si>
  <si>
    <t>Molecular Docking Studies and Application of 6-(1-Arylmethanamino)-2-Phenyl-4H-Chromen-4-Ones as Potent Antibacterial Agents</t>
  </si>
  <si>
    <t>Waikar, MR; Rasal, AS; Shinde, NS; Dhas, SD; Moholkar, AV; Shirsat, MD; Chakarvarti, SK; Sonkawade, RG</t>
  </si>
  <si>
    <t>Electrochemical performance of Polyaniline based symmetrical energy storage device</t>
  </si>
  <si>
    <t>Saeed, AM; Almalahi, MA; Abdo, MS</t>
  </si>
  <si>
    <t>Explicit iteration and unique solution for φ-Hilfer type fractional Langevin equations</t>
  </si>
  <si>
    <t>Suryawanshi, VB; Momin, KI; Dawle, JK; Mathapati, SR</t>
  </si>
  <si>
    <t>BCl3 Catalyzed, Solvent Free Protocol for the Synthesis of Dihydropyrano[3,2-b] Chromenediones</t>
  </si>
  <si>
    <t>Baig, MS; Owida, H; Njoroge, W; Siddiqui, AUR; Yang, Y</t>
  </si>
  <si>
    <t>Development and evaluation of cationic nanostructured lipid carriers for ophthalmic drug delivery of besifloxacin</t>
  </si>
  <si>
    <t>Sayyed, MI; Elbashir, BO; Tekin, HO; Altunsoy, EE; Gaikwad, DK</t>
  </si>
  <si>
    <t>Radiation shielding properties of pentaternary borate glasses using MCNPX code</t>
  </si>
  <si>
    <t>Aljaaidi, TA; Pachpatte, DB; Abdo, MS; Botmart, T; Ahmad, H; Almalahi, MA; Redhwan, SS</t>
  </si>
  <si>
    <t>(k, ψ)-Proportional Fractional Integral Polya-Szego- and Gruss-Type Inequalities</t>
  </si>
  <si>
    <t>Gaikwad, DK; Sayyed, MI; Botewad, SN; Obaid, SS; Khattari, ZY; Gawai, UP; Afaneh, F; Shirshat, MD; Pawar, PP</t>
  </si>
  <si>
    <t>Physical, structural, optical investigation and shielding featuresof tungsten bismuth tellurite based glasses</t>
  </si>
  <si>
    <t>Deshpande, PR; Bhusare, K; Chandrakar, VR; Rao, EJ; Raut, A; Pawar, S; Sajith, M; Panda, BK; Prasanna, MNL; Pawar, AP</t>
  </si>
  <si>
    <t>Economic Aspects, Economic Assessment and Career Preferences of Doctor of Pharmacy (PharmD) Students in India</t>
  </si>
  <si>
    <t>Masand, VH; Patil, MK; El-Sayed, NNE; Zaki, MEA; Almarhoon, Z; Al-Hussain, SA</t>
  </si>
  <si>
    <t>Balanced QSAR analysis to identify the structural requirements of ABBV-075 (Mivebresib) analogues as bromodomain and extraterminal domain (BET) family bromodomain inhibitor</t>
  </si>
  <si>
    <t>Patil, M; Jang, H; Han, SH; Gattu, KP; Tonpe, DA; Kutwade, VV; Sharma, R</t>
  </si>
  <si>
    <t>Electrochemical performance of low-cost PANI-anchored CuS electrode for lithium-ion batteries</t>
  </si>
  <si>
    <t>Ahmed, ZAT; Aldhyani, THH; Jadhav, ME; Alzahrani, MY; Alzahrani, ME; Althobaiti, MM; Alassery, F; Alshaflut, A; Alzahrani, NM; Al-madani, AM</t>
  </si>
  <si>
    <t>RETRACTED: Facial Features Detection System To Identify Children With Autism Spectrum Disorder: Deep Learning Models (Retracted Article)</t>
  </si>
  <si>
    <t>Somvanshi, SB; Ulloa, AM; Zhao, M; Liang, QY; Barui, AK; Lucas, A; Jadhav, KM; Allebach, JP; Stanciu, LA</t>
  </si>
  <si>
    <t>Microfluidic paper-based aptasensor devices for multiplexed detection of pathogenic bacteria</t>
  </si>
  <si>
    <t>ELSEVIER ADVANCED TECHNOLOGY</t>
  </si>
  <si>
    <t>Borade, RM; Kale, SB; Tekale, SU; Jadhav, KM; Pawar, RP</t>
  </si>
  <si>
    <t>Cobalt ferrite magnetic nanoparticles as highly efficient catalyst for the mechanochemical synthesis of 2-aryl benzimidazoles</t>
  </si>
  <si>
    <t>Munde, A; Sharma, P; Dhawale, S; Kadam, RG; Kumar, S; Kale, HB; Filip, J; Zboril, R; Sathe, BR; Gawande, MB</t>
  </si>
  <si>
    <t>Interface Engineering of SRu-mC3N4 Heterostructures for Enhanced Electrochemical Hydrazine Oxidation Reactions</t>
  </si>
  <si>
    <t>Kilicoglu, O; More, CV; Kara, U; Davraz, M</t>
  </si>
  <si>
    <t>Investigation of the effect of cement type on nuclear shield performance of heavy concrete</t>
  </si>
  <si>
    <t>Shirsat, SM; Chiang, CH; Bodkhe, GA; Shirsat, MD; Tsai, ML</t>
  </si>
  <si>
    <t>High sensitivity carbon monoxide detector using iron tetraphenyl porphyrin functionalized reduced graphene oxide</t>
  </si>
  <si>
    <t>Kaawash, NMS; Halge, DI; Narwade, VN; Alegaonkar, PS; Bogle, KA</t>
  </si>
  <si>
    <t>High-performance and ultra-sensitive ultraviolet photodetector based on surface passivated ?-Fe2O3 thin film</t>
  </si>
  <si>
    <t>Abd Al Galil, FM; Zambare, SP; Al-Mekhlafi, FA; AL-Keridis, LA</t>
  </si>
  <si>
    <t>Effect of dimethoate on the developmental rate of forensic importance Calliphoridae flies</t>
  </si>
  <si>
    <t>Atkore, ST; Bondle, GM; Kamble, VT; Varala, R; Adil, SF; Hatshan, MR; Shaik, B</t>
  </si>
  <si>
    <t>Synthesis, characterization and catalytic evaluation of ZrCl4:Mg(ClO4)2 for the synthesis of 1,3-diaryl-3-(phenylthio)propan-1-one</t>
  </si>
  <si>
    <t>Karad, DD; Tandon, R; Arya, A; Sonawane, KD; Chavan, AS; Kharat, AS</t>
  </si>
  <si>
    <t>Subtype diversity and emergence of drug resistance in HIV-1 in solapur district of Maharashtra, India</t>
  </si>
  <si>
    <t>730–739</t>
  </si>
  <si>
    <t>UNIV MEDICAL SCIENCES-DANISHGAH-I ULUM-I PIZISHKI-I TIHRAN</t>
  </si>
  <si>
    <t>https://doi.org/10.18502%2Fijm.v14i5.10969</t>
  </si>
  <si>
    <t>Mohammed, IMS; Gubari, GMM; Sonawane, ME; Kasar, RR; Patil, SA; Mishra, MK; Kutwade, VV; Sharma, R</t>
  </si>
  <si>
    <t>Influence of pH on the physical properties of CdS thin film and its photosensor application</t>
  </si>
  <si>
    <t>Patil, AD; Pawar, RA; Patange, SM; Jadhav, SS; Gore, SK; Shirsath, SE; Meena, SS</t>
  </si>
  <si>
    <t>TiO2-Doped Ni0.4Cu0.3Zn0.3Fe2O4 Nanoparticles for Enhanced Structural and Magnetic Properties</t>
  </si>
  <si>
    <t>Abd Al Galil, FM; Zambare, SP; Al-Mekhlafi, FA; Wadaan, MA; Al-Khalifa, MS</t>
  </si>
  <si>
    <t>Effects of insecticide dimethoate on the developmental rate of forensic importance sarcophagid flies</t>
  </si>
  <si>
    <t>Apostolopoulou, A; Mahajan, S; Sharma, R; Stathatos, E</t>
  </si>
  <si>
    <t>Novel development of nanocrystalline kesterite Cu2ZnSnS4 thin film with high photocatalytic activity under visible light illumination</t>
  </si>
  <si>
    <t>Gawai, UP; Gaikwad, DK; Patil, SL; Pandey, KK; Lalla, NP; Dole, BN</t>
  </si>
  <si>
    <t>Synthesis, local structure and optical property studies of α-SnS microrods by synchrotron X-ray pair distribution function and micro-Raman shift</t>
  </si>
  <si>
    <t>Al-Qadsy, I; Saeed, WS; Al-Odayni, AB; Alrabie, A; Al-Faqeeh, LAS; Al-Adhreai, A; Al-Owais, AA; Semlali, A; Farooqui, M</t>
  </si>
  <si>
    <t>Antidiabetic, antioxidant and cytotoxicity activities of ortho- and para-substituted Schiff bases derived from metformin hydrochloride: Validation by molecular docking and in silico ADME studies</t>
  </si>
  <si>
    <t>DE GRUYTER POLAND SP Z O O</t>
  </si>
  <si>
    <t>Subhedar, DD; Shaikh, MH; Tupe, SG; Deshpande, MV; Khedkar, VM; Jha, PC; Shingate, BB</t>
  </si>
  <si>
    <t>Facile and Solvent-free Domino Synthesis of New Quinolidinyl-2,4-thiazolidinones: Antifungal Activity and Molecular Docking</t>
  </si>
  <si>
    <t>Kazi, SK; Tigote, RM; Gaikwad, VA; Kamble, DP; Bhale, PS; Shringare, SN; Musrif, PG; Inamdar, SN</t>
  </si>
  <si>
    <t>Effect of embedding aluminium and yttrium on the magneto-optic properties of lanthanum spinet ferrite nanoparticles synthesised for photocatalytic degradation of methyl red</t>
  </si>
  <si>
    <t>Almalahi, MA; Bazighifan, O; Panchal, SK; Askar, SS; Oros, GI</t>
  </si>
  <si>
    <t>Analytical Study of Two Nonlinear Coupled Hybrid Systems Involving Generalized Hilfer Fractional Operators</t>
  </si>
  <si>
    <t>Aljaaidi, TA; Pachpatte, DB; Shatanawi, W; Abdo, MS; Abodayeh, K</t>
  </si>
  <si>
    <t>Generalized proportional fractional integral functional bounds in Minkowski's inequalities</t>
  </si>
  <si>
    <t>Jeelani, MB; Alnahdi, AS; Almalahi, MA; Abdo, MS; Wahash, HA; Abdelkawy, MA</t>
  </si>
  <si>
    <t>Study of the Atangana-Baleanu-Caputo type fractional system with a generalized Mittag-Leffler kernel (vol 7, pg 2001, 2022)</t>
  </si>
  <si>
    <t>Gupta, SP; Kakade, BA; Sathe, BR; Qiao, Q; Late, DJ; Walke, PS</t>
  </si>
  <si>
    <t>Thermally Driven High-Rate Intercalated Pseudocapacitance of Flower-like Architecture of Ultrathin Few Layered δ-MnO2 Nanosheets on Carbon Nano-Onions</t>
  </si>
  <si>
    <t>Kashale, AA; Dwivedi, PK; Sathe, BR; Shelke, MV; Chang, JY; Ghule, AV</t>
  </si>
  <si>
    <t>Biomass-Mediated Synthesis of Cu-Doped TiO2 Nanoparticles for Improved-Performance Lithium-Ion Batteries</t>
  </si>
  <si>
    <t>Almalahi, MA; Panchal, SK; Jarad, F; Abdeljawad, T</t>
  </si>
  <si>
    <t>Ulam-Hyers-Mittag-Leffler stability for tripled system of weighted fractional operator with TIME delay</t>
  </si>
  <si>
    <t>Dake, DV; Raskar, ND; Mane, VA; Sonpir, RB; Stathatos, E; Asokan, K; Babu, PD; Dole, BN</t>
  </si>
  <si>
    <t>Exploring the role of defects on diverse properties of Cr-substituted ZnS nanostructures for photocatalytic applications</t>
  </si>
  <si>
    <t>Aljaaidi, TA; Pachpatte, DB; Abdeljawad, T; Abdo, MS; Almalahi, MA; Redhwan, SS</t>
  </si>
  <si>
    <t>Generalized proportional fractional integral Hermite-Hadamard's inequalities</t>
  </si>
  <si>
    <t>Ahmed, IA; Senan, EM; Rassem, TH; Ali, MAH; Shatnawi, HSA; Alwazer, SM; Alshahrani, M</t>
  </si>
  <si>
    <t>Eye Tracking-Based Diagnosis and Early Detection of Autism Spectrum Disorder Using Machine Learning and Deep Learning Techniques</t>
  </si>
  <si>
    <t>More, S; Khedkar, MV; Kulkarni, GD; Kadhane, P; Kamble, R; Jadhav, KM</t>
  </si>
  <si>
    <t>Effect of iron doping on structural, DC electrical resistivity and ferroelectric properties of BaTiO3 nanoceramics</t>
  </si>
  <si>
    <t>Kumar, A; Gaikwad, DK; Obaid, SS; Tekin, HO; Agare, O; Sayyed, MI</t>
  </si>
  <si>
    <t>Experimental studies and Monte Carlo simulations on gamma ray shielding competence of (30+x)PbO-10WO3-10Na2O-10MgO-(40-x)B2O3 glasses</t>
  </si>
  <si>
    <t>El-Denglawey, A; Angadi, VJ; Manjunatha, K; Chethan, B; Somvanshi, SB</t>
  </si>
  <si>
    <t>Role of dysprosium in enhancing the humidity sensing performance in manganese zinc ferrites for sensor applications</t>
  </si>
  <si>
    <t>Kardile, RA; Sarkate, AP; Borude, AS; Mane, RS; Lokwani, DK; Tiwari, SV; Azad, R; Burra, PVLS; Thopate, SR</t>
  </si>
  <si>
    <t>Design and synthesis of novel conformationally constrained 7,12-dihydro- dibenzo[b,h][1,6] naphthyridine and 7H-Chromeno[3,2-c] quinoline derivatives as topoisomerase I inhibitors: In vitro screening, molecular docking and ADME predictions</t>
  </si>
  <si>
    <t>Al-horaibi, SA; Al-Odayni, AB; Alezzy, A; ALSaeedy, M; Al-Adhreai, A; Saeed, WS; Hasan, A</t>
  </si>
  <si>
    <t>Novel Squaraine dyes for high-performance in dye-sensitized solar cells: Photophysical properties and adsorption behavior on TiO2 with different anchoring groups</t>
  </si>
  <si>
    <t>Farea, MA; Bhanuse, GB; Mohammed, HY; Farea, MO; Sallam, M; Shirsat, SM; Tsai, ML; Shirsat, MD</t>
  </si>
  <si>
    <t>Ultrahigh sensitive and selective room-temperature carbon monoxide gas sensor based on polypyrrole/titanium dioxide nanocomposite</t>
  </si>
  <si>
    <t>Khullar, S; Janak; Sakshi; Saini, H; Sapner, VS; Sathe, BR; Markad, D</t>
  </si>
  <si>
    <t>Design and Synthesis of Lead(II)-Based Electrocatalysts for Oxygen Evolution Reaction</t>
  </si>
  <si>
    <t>More, MS; Bodkhe, GA; Singh, F; Kim, M; Shirsat, MD</t>
  </si>
  <si>
    <t>Metal-organic framework-reduced graphene oxide (Zn-BDC@rGO) composite for selective discrimination among ammonia, carbon monoxide, and sulfur dioxide</t>
  </si>
  <si>
    <t>Deore, KB; Patil, SS; Narwade, VN; Takte, MA; Khune, AS; Mohammed, HY; Farea, MA; Sayyad, PW; Tsai, ML; Shirsat, MD</t>
  </si>
  <si>
    <t>Chromium-Benzenedicarboxylates Metal Organic Framework for Supersensitive and Selective Electrochemical Sensor of Toxic Cd2+, Pb2+, and Hg2+Metal Ions: Study of their Interactive Mechanism</t>
  </si>
  <si>
    <t>Nasser, M; Palwe, S; Bhargava, RN; Feuilloley, MGJ; Kharat, AS</t>
  </si>
  <si>
    <t>Retrospective Analysis on Antimicrobial Resistance Trends and Prevalence of β-lactamases in Escherichia coli and ESKAPE Pathogens Isolated from Arabian Patients during 2000-2020</t>
  </si>
  <si>
    <t>Abdelraheem, WHM; Patil, MK; Nadagouda, MN; Dionysiou, DD</t>
  </si>
  <si>
    <t>Hydrothermal synthesis of photoactive nitrogen- and boron- codoped TiO2 nanoparticles for the treatment of bisphenol A in wastewater: Synthesis, photocatalytic activity, degradation byproducts and reaction pathways</t>
  </si>
  <si>
    <t>Mohammed, HY; Farea, MA; Ali, ZM; Shirsat, SM; Tsai, ML; Shirsat, MD</t>
  </si>
  <si>
    <t>Poly(N-methyl pyrrole) decorated rGO nanocomposite: A novel ultrasensitive and selective carbon monoxide sensor</t>
  </si>
  <si>
    <t>Quazi, A; Patwekar, M; Patwekar, F; Mezni, A; Ahmad, I; Islam, F</t>
  </si>
  <si>
    <t>Evaluation of Wound Healing Activity (Excision Wound Model) of Ointment Prepared from Infusion Extract of Polyherbal Tea Bag Formulation in Diabetes-Induced Rats</t>
  </si>
  <si>
    <t>Shelke, MB; Lee, JG; Samanta, S; Deshmukh, SN; Daulappa, GB; Mannade, RB; Sivaraman, AK</t>
  </si>
  <si>
    <t>An Ensemble Based Approach for Sentiment Classification in Asian Regional Language</t>
  </si>
  <si>
    <t>Gaikwad, KD; Khobragade, RM; Deodware, SA; Ubale, PA; Dhale, PC; Ovhal, RM; Shivamallu, C; Ankegowda, VM; Raghavendra, HL; Gaikwad, SH; Kollur, SP</t>
  </si>
  <si>
    <t>Chemical synthesis, spectral characterization and biological activities of new diphenylsulphone derived Schiff base ligand and their Ni(II) complexes</t>
  </si>
  <si>
    <t>Patil, SR; Bollikonda, S; Patil, RH; Sangshetti, JN; Bobade, AS; Asrondkar, A; Reddy, PP; Shinde, DB</t>
  </si>
  <si>
    <t>Microwave-assisted synthesis of novel 5-substituted benzylidene amino-2-butyl benzofuran-3-yl-4-methoxyphenyl methanones as antileishmanial and antioxidant agents</t>
  </si>
  <si>
    <t>Neamah, MK; Ibrahim, A; Mehdy, HS; Redhwan, SS; Abdo, MS</t>
  </si>
  <si>
    <t>Some New Fractional Inequalities Involving Convex Functions and Generalized Fractional Integral Operator</t>
  </si>
  <si>
    <t>Senan, EM; Al-Adhaileh, MH; Alsaade, FW; Aldhyani, THH; Alqarni, AA; Alsharif, N; Uddin, MI; Alahmadi, AH; Jadhav, ME; Alzahrani, MY</t>
  </si>
  <si>
    <t>Diagnosis of Chronic Kidney Disease Using Effective Classification Algorithms and Recursive Feature Elimination Techniques</t>
  </si>
  <si>
    <t>Khune, AS; Padghan, V; Bongane, R; Narwade, VN; Dole, BN; Ingle, NN; Tsai, ML; Hianik, T; Shirsat, MD</t>
  </si>
  <si>
    <t>Highly Selective Chemiresistive SO2 Sensor Based on a Reduced Graphene Oxide/Porphyrin (rGO/TAPP) Composite</t>
  </si>
  <si>
    <t>Baig, MI; Anis, M; Shirsat, MD; Alshehri, AM; Somaily, HH; Hussaini, SS</t>
  </si>
  <si>
    <t>Influence of Zn2+ on laser induced optical and electrical traits of KH2PO4 crystal for NLO device applications</t>
  </si>
  <si>
    <t>Bodkhe, GA; Deshmukh, MA; Patil, HK; Shirsat, SM; Srihari, V; Pandey, KK; Panchal, G; Phase, DM; Mulchandani, A; Shirsat, MD</t>
  </si>
  <si>
    <t>Field effect transistor based on proton conductive metal organic framework (CuBTC)</t>
  </si>
  <si>
    <t>Abdo, MS; Panchal, SK; Shah, K; Abdeljawad, T</t>
  </si>
  <si>
    <t>Existence theory and numerical analysis of three species prey-predator model under Mittag-Leffler power law</t>
  </si>
  <si>
    <t>Sayyed, MI; Agar, O; Kumar, A; Tekin, HO; Gaikwad, DK; Obaid, SS</t>
  </si>
  <si>
    <t>Shielding behaviour of (20+x) Bi2O3-20BaO-10Na2O-10MgO-(40-x) B2O3: An experimental and Monte Carlo study</t>
  </si>
  <si>
    <t>Takte, MA; Ingle, NN; Dole, BN; Tsai, ML; Hianik, T; Shirsat, MD</t>
  </si>
  <si>
    <t>A stable and highly-sensitive flexible gas sensor based on Ceria (CeO2) nano-cube decorated rGO nanosheets for selective detection of NO2 at room temperature</t>
  </si>
  <si>
    <t>Almalahi, MA; Ibrahim, AB; Almutairi, A; Bazighifan, O; Aljaaidi, TA; Awrejcewicz, J</t>
  </si>
  <si>
    <t>SYMMETRY-BASEL</t>
  </si>
  <si>
    <t>A Qualitative Study on Second-Order Nonlinear Fractional Differential Evolution Equations with Generalized ABC Operator</t>
  </si>
  <si>
    <t>2073-8994</t>
  </si>
  <si>
    <t>Al-Keridis, LA; Al-Mekhlafi, FA; Abd Al Galil, FM; Mohamed, RAE; Al-Shuraym, LA; Alhag, SK; Wadaan, MA; Al-Khalifa, MS; Zambare, SP</t>
  </si>
  <si>
    <t>Effect of the sedative drug zolpidem tartrate on the immature and mature stages of carrion flies Chrysomya rufifacies and Chrysomya indiana</t>
  </si>
  <si>
    <t>2213-686X</t>
  </si>
  <si>
    <t>Shatanawi, W; Abdo, MS; Abdulwasaa, MA; Shah, K; Panchal, SK; Kawale, SV; Ghadle, KP</t>
  </si>
  <si>
    <t>RESULTS IN PHYSICS</t>
  </si>
  <si>
    <t>A fractional dynamics of tuberculosis (TB) model in the frame of generalized Atangana-Baleanu derivative</t>
  </si>
  <si>
    <t>Atkore, ST; Bondle, GM; Raithak, PV; Kamble, VT; Varala, R; Kuniyil, M; Hatshan, MR; Shaik, B; Adil, SF; Hussain, MA</t>
  </si>
  <si>
    <t>Synthesis of 14-Substituted-14H-Dibenzo[a,j]Xanthene Derivatives in Presence of Effective Synergetic Catalytic System Bleaching Earth Clay and PEG-600</t>
  </si>
  <si>
    <t>Phalake, SS; Somvanshi, SB; Tofail, SAM; Thorat, ND; Khot, VM</t>
  </si>
  <si>
    <t>NANOSCALE</t>
  </si>
  <si>
    <t>Functionalized manganese iron oxide nanoparticles: a dual potential magneto-chemotherapeutic cargo in a 3D breast cancer model</t>
  </si>
  <si>
    <t>2040-3372</t>
  </si>
  <si>
    <t>Pund, GB; Wahul, DB; Deshmukh, TR; Dhumal, ST; Mandave, KR; Gaware, SA; Farooqui, M; Dobhal, BS; Hebade, MJ</t>
  </si>
  <si>
    <t>Theophylline Hydrogen Sulfate: A green and efficient catalyst for synthesis of 3,3-bis(1H-indol-3-yl)indolin-2-one derivatives</t>
  </si>
  <si>
    <t>1532-2432</t>
  </si>
  <si>
    <t>Thabit, MYH; Kaawash, NMS; Halge, DI; Khanzode, PM; Narwade, VN; Dahiwale, SS; Bogle, KA</t>
  </si>
  <si>
    <t>Flexible infrared photodetector based on polyethylene terephthalate (PET) supported lead sulfide thin film</t>
  </si>
  <si>
    <t>1873-2135</t>
  </si>
  <si>
    <t>Baig, MI; Anis, M; Shirsat, MD; Somaily, HH; Hussaini, SS</t>
  </si>
  <si>
    <t>Exploring linear-nonlinear optical, dielectric and microscopic traits of sulphamic acid crystal exploiting Zn2+ for photonic device applications</t>
  </si>
  <si>
    <t>1573-482X</t>
  </si>
  <si>
    <t>Alezzy, AA; Al-horaibi, SA; Alnahari, HA; Al-Odayni, AB; Alsaeedy, M; AL-Adhreai, A; Saeed, W; Alshawesh, G; Arif, PM</t>
  </si>
  <si>
    <t>Synthesis, characterization, and biological studies of novel N (cinnamylidene) sulfamethoxazole (SMZ-CAL) and its metal complexes</t>
  </si>
  <si>
    <t>1872-8014</t>
  </si>
  <si>
    <t>Jang, H; Bui, HT; Han, JH; Sung, MYM; Kutwade, VV; Gattu, KP; Sharma, MC; Han, SH; Sharma, R</t>
  </si>
  <si>
    <t>Investigating the influence of vinylene carbonate concentrations on battery stability: role of electrode/electrolyte interfaces</t>
  </si>
  <si>
    <t>1433-0768</t>
  </si>
  <si>
    <t>More, MS; Bodkhe, GA; Ingle, NN; Singh, F; Tsai, ML; Kim, M; Shirsat, MD</t>
  </si>
  <si>
    <t>SOLID-STATE ELECTRONICS</t>
  </si>
  <si>
    <t>Metal-organic framework (MOF)/reduced graphene oxide (rGO) composite for high performance CO sensor</t>
  </si>
  <si>
    <t>1879-2405</t>
  </si>
  <si>
    <t>Bhale, PS; Chavan, H; Shringare, SN; Khedkar, VM; Tigote, RM; Mali, NN; Jadhav, TD; Kamble, NB; Kolat, SP; Bandgar, BP; Patil, HS</t>
  </si>
  <si>
    <t>Design, synthesis of anticancer and anti-inflammatory 4-(1-methyl-1H-indol-3-yl)-6-(methylthio) pyrimidine-5-carbonitriles</t>
  </si>
  <si>
    <t>Obaid, SS; Sayyed, MI; Gaikwad, DK; Tekin, HO; Elmahroug, Y; Pawar, PP</t>
  </si>
  <si>
    <t>Photon attenuation coefficients of different rock samples using MCNPX, Geant4 simulation codes and experimental results: a comparison study</t>
  </si>
  <si>
    <t>1029-4953</t>
  </si>
  <si>
    <t>Al-Qadsy, I; Al-Odayni, AB; Saeed, WS; Alrabie, A; Al-Adhreai, A; Al-Faqeeh, LAS; Lama, P; Alghamdi, AA; Farooqui, M</t>
  </si>
  <si>
    <t>CRYSTALS</t>
  </si>
  <si>
    <t>Synthesis, Characterization, Single-Crystal X-ray Structure and Biological Activities of [(Z)-N′-(4-Methoxybenzylidene)benzohydrazide-Nickel(II)] Complex</t>
  </si>
  <si>
    <t>Gaikwad, DK; Sayyed, MI; Obaid, SS; Issa, SAM; Pawar, PP</t>
  </si>
  <si>
    <t>Gamma ray shielding properties of TeO2-ZnF2-As2O3-Sm2O3 glasses</t>
  </si>
  <si>
    <t>1873-4669</t>
  </si>
  <si>
    <t>Mehta, PK; Sharma, S; Mehta, N; Dahiya, B; Singh, P; Prashar, K; Sheoran, A; Varma-Basil, M; Khuller, GK</t>
  </si>
  <si>
    <t>JOURNAL OF MICROBIOLOGICAL METHODS</t>
  </si>
  <si>
    <t>Quantitative detection of mycobacterial mannophosphoinositides in tuberculosis patients by real-time immuno-PCR assay</t>
  </si>
  <si>
    <t>1872-8359</t>
  </si>
  <si>
    <t>Sankhla, MS; Parihar, K; Kumar, R; Bhagat, DS; Sonone, SS; Singh, GK; Nagar, V; Awasthi, G; Yadav, CS</t>
  </si>
  <si>
    <t>BIOINTERFACE RESEARCH IN APPLIED CHEMISTRY</t>
  </si>
  <si>
    <t>Ecofriendly Approach for Steroids, Terpenes, and Alkaloids-based Biosurfactant</t>
  </si>
  <si>
    <t>AMG TRANSCEND ASSOC</t>
  </si>
  <si>
    <t>Sayyed, MI; Manjunatha, HC; Gaikwad, DK; Obaid, SS; Zaid, MHM; Matori, KA</t>
  </si>
  <si>
    <t>DIGEST JOURNAL OF NANOMATERIALS AND BIOSTRUCTURES</t>
  </si>
  <si>
    <t>ENERGY-ABSORPTION BUILDUP FACTORS AND SPECIFIC ABSORBED FRACTIONS OF ENERGY FOR BIOACTIVE GLASSES</t>
  </si>
  <si>
    <t>INST MATERIALS PHYSICS</t>
  </si>
  <si>
    <t>https://www.google.com/url?sa=t&amp;source=web&amp;rct=j&amp;opi=89978449&amp;url=https://chalcogen.ro/701_SayyedMI.pdf&amp;ved=2ahUKEwj9gtGliN2GAxUSVWwGHZhuBewQFnoECBkQAQ&amp;usg=AOvVaw0xcAn0mNRboBGBZZyqSEnY</t>
  </si>
  <si>
    <t>Al-Buriahi, MS; Singh, VP; Arslan, H; Awasarmol, VV; Tonguc, BT</t>
  </si>
  <si>
    <t>RADIATION AND ENVIRONMENTAL BIOPHYSICS</t>
  </si>
  <si>
    <t>Gamma-ray attenuation properties of some NLO materials: potential use in dosimetry</t>
  </si>
  <si>
    <t>1432-2099</t>
  </si>
  <si>
    <t>Patil, J; Hardan, B; Hamoud, AA; Bachhav, A; Emadifar, H; Ghanizadeh, A; Edalatpanah, SA; Azizi, H</t>
  </si>
  <si>
    <t>ADVANCES IN MATHEMATICAL PHYSICS</t>
  </si>
  <si>
    <t>On (?,?)(f,g)-Contractions in Extended b-Metric Spaces</t>
  </si>
  <si>
    <t>1687-9139</t>
  </si>
  <si>
    <t>Gawai, UP; Kamble, SD; Gurav, SK; Singh, MN; Yadav, AK; Jha, SN; Lalla, NP; Bodke, MR; Shirsat, MD; Dole, BN</t>
  </si>
  <si>
    <t>Microwave-Assisted Coprecipitation Synthesis and Local Structural Investigation on NiO, β-Ni(OH)2/Co3O4 Nanosheets, and Co3O4 Nanorods Using X-ray Absorption Spectroscopy at Co-Ni K-edge and Synchrotron X-ray Diffraction</t>
  </si>
  <si>
    <t>Almalahi, MA; Panchal, SK; Jarad, F; Abdo, MS; Shah, K; Abdeljawad, T</t>
  </si>
  <si>
    <t>Qualitative analysis of a fuzzy Volterra-Fredholm integrodifferential equation with an Atangana-Baleanu fractional derivative</t>
  </si>
  <si>
    <t>Almalahi, MA; Panchal, SK; Shatanawi, W; Abdo, MS; Shah, K; Abodayeh, K</t>
  </si>
  <si>
    <t>Analytical study of transmission dynamics of 2019-nCoV pandemic via fractal fractional operator</t>
  </si>
  <si>
    <t>Sawant, SA; Waikar, MR; Rasal, AS; Chodankar, GR; Dhas, SD; Moholkar, AV; Shirsat, MD; Chakarvarti, SK; Sonkawade, RG</t>
  </si>
  <si>
    <t>Chemical synthesis and supercapacitive evaluation of polyaniline nanofibers (PANINFs)</t>
  </si>
  <si>
    <t>Al-horaibi, SA; Al-Odayni, AB; Alezzy, A; ALSaeedy, M; Saeed, W; Hasan, A; El-Shishtawy, RM</t>
  </si>
  <si>
    <t>Development of new co-sensitizer based squaraine dyes for enhancing the performance of DSSC</t>
  </si>
  <si>
    <t>Hussain, Z; Sarwar, ZM; Akbar, A; Alhag, SK; Ahmed, N; Alam, P; Almadiy, AA; Zouidi, F; Jawalkar, NB</t>
  </si>
  <si>
    <t>AGRICULTURE-BASEL</t>
  </si>
  <si>
    <t>Spatiotemporal Distribution Patterns of Pest Species (Lepidoptera: Noctuidae) Affected by Meteorological Factors in an Agroecosystem</t>
  </si>
  <si>
    <t>2077-0472</t>
  </si>
  <si>
    <t>Ali, SM; Abdo, MS; Sontakke, B; Shah, K; Abdeljawad, T</t>
  </si>
  <si>
    <t>New results on a coupled system for second-order pantograph equations with ABC fractional derivatives</t>
  </si>
  <si>
    <t>Mulik, BB; Bankar, BD; Munde, AV; Biradar, AV; Asefa, T; Sathe, BR</t>
  </si>
  <si>
    <t>SUSTAINABLE ENERGY &amp; FUELS</t>
  </si>
  <si>
    <t>Facile synthesis and characterization of γ-Al2O3 loaded on reduced graphene oxide for electrochemical reduction of CO2</t>
  </si>
  <si>
    <t>Redhwan, SS; Abdo, MS; Shah, K; Abdeljawad, T; Dawood, S; Abdo, HA; Shaikh, SL</t>
  </si>
  <si>
    <t>Mathematical modeling for the outbreak of the coronavirus (COVID-19) under fractional nonlocal operator</t>
  </si>
  <si>
    <t>Pund, GB; Dhumal, ST; Deshmukh, TR; Wahul, DB; Mandave, KR; Gaware, SA; Chavan, SS; Farooqui, M; Dobhal, BS; Hebade, MJ</t>
  </si>
  <si>
    <t>Greener Synthetic Approach for 4,4′-(Arylmethylene)bis(3-methyl-1H-pyrazol-5-ol) Derivatives in an Aqueous Medium using Theophylline as a Catalyst</t>
  </si>
  <si>
    <t>Al-horaibi, SA; Al-Odayni, AB; Alsaeedy, M; Al-Ostoot, FH; Al-Salihy, A; Alezzy, A; Al-Adhreai, A; Saif, FA; Yaseen, SA; Saeed, WS</t>
  </si>
  <si>
    <t>Exploring DSSC Efficiency Enhancement: SQI-F and SQI-Cl Dyes with Iodolyte Electrolytes and CDCA Optimization</t>
  </si>
  <si>
    <t>Patil, J; Hardan, B; Hamoud, AA; Bachhav, A; Emadifar, H; Günerhan, H</t>
  </si>
  <si>
    <t>Generalization Contractive Mappings on Rectangular b-Metric Space</t>
  </si>
  <si>
    <t>Dake, DV; Raskar, ND; Mane, VA; Sonpir, RB; Stathatos, E; Vasundhara, M; Meena, R; Asokan, K; Dole, BN</t>
  </si>
  <si>
    <t>SCIENTIFIC REPORTS</t>
  </si>
  <si>
    <t>Intriguing physicochemical properties and impact of co-dopants on N-doped graphene oxide based ZnS nanowires for photocatalytic application</t>
  </si>
  <si>
    <t>Baig, MI; Anis, M; Shirsat, MD; Hussaini, SS; Algarni, H</t>
  </si>
  <si>
    <t>Comparative analysis of pristine and Cd2+ influenced potassium acid phthalate single crystal for photonic device applications</t>
  </si>
  <si>
    <t>1618-1336</t>
  </si>
  <si>
    <t>Hebade, MJ; Dhumal, ST; Kamble, SS; Deshmukh, TR; Khedkar, VM; Hese, SV; Gacche, RN; Dawane, BS</t>
  </si>
  <si>
    <t>DTP/SiO2 Assisted Synthesis of New Benzimidazole-Thiazole Conjugates Targeting Antitubercular and Antioxidant Activities</t>
  </si>
  <si>
    <t>1563-5333</t>
  </si>
  <si>
    <t>Baig, MI; Anis, M; Algarni, H; Shirsat, MD; Hussaini, SS</t>
  </si>
  <si>
    <t>CHINESE JOURNAL OF PHYSICS</t>
  </si>
  <si>
    <t>Customizing optical and dielectric traits of ammonium dihydrogen phosphate (ADP) crystal exploiting Zn2+ ion for photonic device applications</t>
  </si>
  <si>
    <t>Generalization Contractive Mappings on Rectangular b-Metric Space (vol 2022, 7291001, 2022)</t>
  </si>
  <si>
    <t>Al-Mekhlafi, ZG; Senan, EM; Rassem, TH; Mohammed, BA; Makbol, NM; Alanazi, AA; Almurayziq, TS; Ghaleb, FA</t>
  </si>
  <si>
    <t>CMC-COMPUTERS MATERIALS &amp; CONTINUA</t>
  </si>
  <si>
    <t>Deep Learning and Machine Learning for Early Detection of Stroke and Haemorrhage</t>
  </si>
  <si>
    <t>1546-2226</t>
  </si>
  <si>
    <t>More, CV; Pawar, PP; Badawi, MS; Thabet, AA</t>
  </si>
  <si>
    <t>NUCLEAR TECHNOLOGY &amp; RADIATION PROTECTION</t>
  </si>
  <si>
    <t>EXTENS THEORETICAL STUDY OF GAMMA-RAY SHIELDING PARAMETERS USING EPDXY RESIN-METAL CHLORIDE MIXTURES</t>
  </si>
  <si>
    <t>1452-8185</t>
  </si>
  <si>
    <t>VINCA INST NUCLEAR SCI</t>
  </si>
  <si>
    <t>Sayyed, MI; Kaky, KM; Gaikwad, DK; Agar, O; Gawai, UP; Baki, SO</t>
  </si>
  <si>
    <t>Physical, structural, optical and gamma radiation shielding properties of borate glasses containing heavy metals (Bi2O3/MoO3)</t>
  </si>
  <si>
    <t>1873-4812</t>
  </si>
  <si>
    <t>Alsarori, N; Ghadle, K; Sessa, S; Saleh, H; Alabiad, S</t>
  </si>
  <si>
    <t>New Study of the Existence and Dimension of the Set of Solutions for Nonlocal Impulsive Differential Inclusions with a Sectorial Operator</t>
  </si>
  <si>
    <t>Desai, KR; Alone, ST; Wadgane, SR; Shirsath, SE; Batoo, KM; Imran, A; Raslan, EH; Hadi, M; Ijaz, MF; Kadam, RH</t>
  </si>
  <si>
    <t>X-ray diffraction based Williamson-Hall analysis and rietveld refinement for strain mechanism in Mg-Mn co-substituted CdFe2O4 nanoparticles</t>
  </si>
  <si>
    <t>Redhwan, SS; Shaikh, SL; Abdo, MS; Shatanawi, W; Abodayeh, K; Almalahi, MA; Aljaaidi, T</t>
  </si>
  <si>
    <t>Investigating a generalized Hilfer-type fractional differential equation with two-point and integral boundary conditions</t>
  </si>
  <si>
    <t>Sarkate, AP; Dofe, VS; Tiwari, SV; Lokwani, DK; Karnik, KS; Kamble, DD; Ansari, MHSH; Dodamani, S; Jalalpure, SS; Sangshetti, JN; Azad, R; Burra, PVLS; Bhandari, SV</t>
  </si>
  <si>
    <t>One pot synthesis, in silico study and evaluation of some novel flavonoids as potent topoisomerase II inhibitors</t>
  </si>
  <si>
    <t>1464-3405</t>
  </si>
  <si>
    <t>Azhar, SM; Rabbani, G; Shirsat, MD; Hussaini, SS; Baig, MI; Ghramh, HA; Anis, M</t>
  </si>
  <si>
    <t>Luminescence, laser induced nonlinear optical and surface microscopic studies of potassium thiourea chloride crystal</t>
  </si>
  <si>
    <t>Jagadale, SM; Abhale, YK; Pawar, HR; Shinde, A; Bobade, VD; Chavan, AP; Sarkar, D; Mhaske, PC</t>
  </si>
  <si>
    <t>Synthesis of New Thiazole and Pyrazole Clubbed 1,2,3-Triazol Derivatives as Potential Antimycobacterial and Antibacterial Agents</t>
  </si>
  <si>
    <t>Anis, M; Azher, SM; Shirsat, MD; Anees, MI; Mukhtar, M; Baig, MI; Somaily, HH</t>
  </si>
  <si>
    <t>Comparative structural, linear-non-linear optical, laser damage threshold, dielectric and thermal analysis of pristine and L-cysteine influenced KH2PO4 crystal for NLO applications</t>
  </si>
  <si>
    <t>1879-0259</t>
  </si>
  <si>
    <t>Varshney, P; Kumar, V; Singh, P; Sharma, R; Kumar, A</t>
  </si>
  <si>
    <t>JOURNAL OF PHYSICAL SCIENCE</t>
  </si>
  <si>
    <t>RF Sputtered ZnO Nanoballs on Porous Substrate for Highly Sensitive NO2 Gas Sensing Applications</t>
  </si>
  <si>
    <t>2180-4230</t>
  </si>
  <si>
    <t>UNIV SAINS MALAYSIA</t>
  </si>
  <si>
    <t>Anis, M; Baig, MI; Hussaini, SS; Shirsat, MD; Shkir, M; Ghramh, HA</t>
  </si>
  <si>
    <t>CHINESE PHYSICS B</t>
  </si>
  <si>
    <t>Linear and nonlinear optical analysis on semiorganic L-proline cadmium chloride single crystal</t>
  </si>
  <si>
    <t>1741-4199</t>
  </si>
  <si>
    <t>Al-Madhagi, H; Al-Adhreai, A; Alsaeedy, M; Alrabie, A; Al-horaibi, SA; Alaizeri, ZAM; Alhadlaq, HA; Farooqui, M</t>
  </si>
  <si>
    <t>Dual docking of some synthesized isoxazolidine derivatives against Cathepsin L and main protease as a novel treatment strategy for COVID-19</t>
  </si>
  <si>
    <t>Sharma, RP; Raut, SD; Jadhav, VV; Kadam, AS; Mane, RS</t>
  </si>
  <si>
    <t>Anti-candida and anti-adhesion efficiencies of zinc ferrite nanoparticles</t>
  </si>
  <si>
    <t>1873-4979</t>
  </si>
  <si>
    <t>Azhar, SM; Anis, M; Rabbani, G; Shirsat, MD; Baig, MI; Hussaini, SS; AlFaify, S; Khan, MA</t>
  </si>
  <si>
    <t>Growth of NH4H2PO4 crystal in urea environment to optimize linear-nonlinear optical traits for photonic device applications</t>
  </si>
  <si>
    <t>Waghmare, YA; Narwade, VN; Umar, A; Ibrahim, AA; Shirsat, MD</t>
  </si>
  <si>
    <t>CHEMICAL PHYSICS IMPACT</t>
  </si>
  <si>
    <t>Enhanced CO sensing with highly sensitive and selective rGO-Ru OEP chemiresistive sensor</t>
  </si>
  <si>
    <t>Khan, S; Azhar, SM; Shirsat, MD; Hussaini, SS; Ashraf, IM; Anis, M</t>
  </si>
  <si>
    <t>Optimizing laser induced nonlinear optical, dielectric and microscopic traits of copper sulfate crystal by glycine for photonic device applications</t>
  </si>
  <si>
    <t>Bodkhe, GA; More, MS; Hashem, M; Fouad, H; Siva, S; Deshmukh, MA; Ingle, NN; Kim, M; Shirsat, MD</t>
  </si>
  <si>
    <t>JOURNAL OF NANOELECTRONICS AND OPTOELECTRONICS</t>
  </si>
  <si>
    <t>Hg2+ Ions Sensor: Single Walled Carbon Nanotubes Incorporated Zn-Metal Organic Framework</t>
  </si>
  <si>
    <t>1555-1318</t>
  </si>
  <si>
    <t>Alrabie, A; Alrabie, NA; AlSaeedy, M; Al-Adhreai, A; Al-Qadsy, I; Al-Horaibi, SA; Alaizeri, ZM; Alhadlaq, HA; Ahamed, M; Farooqui, M</t>
  </si>
  <si>
    <t>An integrative GC-MS and LC-MS metabolomics platform determination of the metabolite profile of Bombax ceiba L. root, and in silico &amp; in vitro evaluation of its antibacterial &amp; antidiabetic activities</t>
  </si>
  <si>
    <t>1478-6427</t>
  </si>
  <si>
    <t>More, MS; Bodkhe, GA; Singh, F; Dole, BN; Tsai, ML; Hianik, T; Shirsat, MD</t>
  </si>
  <si>
    <t>Chemiresistive and chem-FET Sensor: π-d conjugated metal-organic framework for ultra-sensitive and selective carbon monoxide detection</t>
  </si>
  <si>
    <t>Halge, D; Narwade, V; Khanzode, P; Kaawash, N; Alegaonkar, P; Kovac, J; Bogle, K</t>
  </si>
  <si>
    <t>ADVANCED ENGINEERING MATERIALS</t>
  </si>
  <si>
    <t>Enhancing Photodetection Performance and Thermal Tolerance of CdS Thin Films through Cobalt (Co) Doping</t>
  </si>
  <si>
    <t>1527-2648</t>
  </si>
  <si>
    <t>Bhusari, S; Sah, PM; Lakkakula, J; Roy, A; Raut, R; Chondekar, R; Alghamdi, S; Almehmadi, M; Allahyani, M; Alsaiari, AA; Aljuaid, A; Al-Abdullah, N</t>
  </si>
  <si>
    <t>GREEN PROCESSING AND SYNTHESIS</t>
  </si>
  <si>
    <t>Green synthesis of silver nanoparticles via Taxus wallichiana Zucc. plant-derived Taxol: Novel utilization as anticancer, antioxidation, anti-inflammation, and antiurolithic potential</t>
  </si>
  <si>
    <t>2191-9550</t>
  </si>
  <si>
    <t>Bodkhe, GA; Khandagale, DD; More, MS; Deshmukh, MA; Ingle, NN; Sayyad, PW; Mahadik, MM; Shirsat, SM; Al-Buriahi, MS; Tsai, ML; Kim, M; Shirsat, MD</t>
  </si>
  <si>
    <t>Ag@MOF-199 metal organic framework for selective detection of nickel ions in aqueous media</t>
  </si>
  <si>
    <t>1873-3956</t>
  </si>
  <si>
    <t>Kilicoglu, O; More, CV; Akman, F; Dilsiz, K; Ogul, H; Kacal, MR; Polat, H; Agar, O</t>
  </si>
  <si>
    <t>Micro Pb filled polymer composites: Theoretical, experimental and simulation results for γ-ray shielding performance</t>
  </si>
  <si>
    <t>1879-0895</t>
  </si>
  <si>
    <t>Halge, DI; Narwade, VN; Kaawash, NMS; Khanzode, PM; Shaikh, SJ; Dadge, JW; Alegaonkar, PS; Hyam, RS; Bogle, KA</t>
  </si>
  <si>
    <t>High-performance blue light photodetector based on PANI/ CdS heterojunction</t>
  </si>
  <si>
    <t>1873-4081</t>
  </si>
  <si>
    <t>Anis, M; Baig, MI; Muley, GG; Rabbani, G; Shirsat, MD; Shkir, M; Ghramh, HA</t>
  </si>
  <si>
    <t>Gamma glycine crystal for efficient second harmonic generation of 1064 nm Nd:YAG laser light</t>
  </si>
  <si>
    <t>Narwade, VN; Rahane, GK; Bogle, KA; Tsai, ML; Rondiya, SR; Shirsat, MD</t>
  </si>
  <si>
    <t>Bifunctional Supercapacitor and Photocatalytic Properties of Cuboid Ni-TMA MOF Synthesized Using a Facile Hydrothermal Approach</t>
  </si>
  <si>
    <t>1543-186X</t>
  </si>
  <si>
    <t>Han, J; Jang, H; Bui, HT; Jahn, M; Ahn, D; Cho, K; Jun, B; Lee, SU; Sabine, S; Stöger-Pollach, M; Whitmore, K; Sung, MM; Kutwade, V; Sharma, R; Han, SH</t>
  </si>
  <si>
    <t>Stable performance of Li-S battery: Engineering of Li2S smart cathode by reduction of multilayer graphene-embedded 2D-MoS2</t>
  </si>
  <si>
    <t>Al-horaibi, SA; Al-Odayni, AB; Alsaeedy, M; Al-Ostoot, FH; Al-Salihy, A; Ghaleb, JQ; Al-Adhreai, A; Saif, FA; Yaseen, SA; Saeed, WS</t>
  </si>
  <si>
    <t>Enhancing photovoltaic efficiency with SQI-Br and SQI-I sensitizers: A comparative analysis</t>
  </si>
  <si>
    <t>Kashale, AA; Rasal, AS; Kamble, GP; Ingole, VH; Dwivedi, PK; Rajoba, SJ; Jadhav, LD; Ling, YC; Chang, JY; Ghule, AV</t>
  </si>
  <si>
    <t>COMPOSITES PART B-ENGINEERING</t>
  </si>
  <si>
    <t>Biosynthesized Co-doped TiO2 nanoparticles based anode for lithium-ion battery application and investigating the influence of dopant concentrations on its performance</t>
  </si>
  <si>
    <t>1879-1069</t>
  </si>
  <si>
    <t>Abdulwasaa, MA; Abdo, MS; Shah, K; Nofal, TA; Panchal, SK; Kawale, SV; Abdel-Aty, AH</t>
  </si>
  <si>
    <t>Fractal-fractional mathematical modeling and forecasting of new cases and deaths of COVID-19 epidemic outbreaks in India</t>
  </si>
  <si>
    <t>2211-3797</t>
  </si>
  <si>
    <t>Ansari, JA; Malik, JA; Ahmed, S; Bhat, FA; Khanam, A; Mir, SA; Abouzied, AS; Ahemad, N; Anwar, S</t>
  </si>
  <si>
    <t>PHARMACOLOGY</t>
  </si>
  <si>
    <t>Targeting Breast Cancer Signaling via Phytomedicine and Nanomedicine</t>
  </si>
  <si>
    <t>1423-0313</t>
  </si>
  <si>
    <t>KARGER</t>
  </si>
  <si>
    <t>Farea, MA; Mohammed, HY; Shirsat, SM; Tsai, ML; Murshed, MN; El Sayed, ME; Naji, S; Samir, A; Alsharabi, RM; Shirsat, MD</t>
  </si>
  <si>
    <t>A novel approach for ultrafast and highly sensitive carbon monoxide gas sensor based on PEDOT/GO nanocomposite</t>
  </si>
  <si>
    <t>Almuqrin, AH; Gangareddy, J; Hivrekar, MM; Pramod, AG; Sayyed, MI; Keshavamurthy, K; Fatima, N; Jadhav, KM</t>
  </si>
  <si>
    <t>Nonlinear Optical Limiting and Radiation Shielding Characteristics of Sm2O3 Doped Cadmium Sodium Lithium Borate Glasses</t>
  </si>
  <si>
    <t>D'Souza, AN; Sharmila, K; Gaikwad, DK; Sayyed, MI; Somashekarappa, HM; Al-Ghamdi, H; Almuqrin, AH; Kamath, SD</t>
  </si>
  <si>
    <t>MATERIALS RESEARCH-IBERO-AMERICAN JOURNAL OF MATERIALS</t>
  </si>
  <si>
    <t>Evaluation of Bismuth Added HMO Glasses in Terms of Thermal, Mechanical, Gamma Radiation Shielding and Thermoluminescence Properties</t>
  </si>
  <si>
    <t>1980-5373</t>
  </si>
  <si>
    <t>UNIV FED SAO CARLOS, DEPT ENGENHARIA MATERIALS</t>
  </si>
  <si>
    <t>Deore, KB; Narwade, VN; Patil, SS; Rondiya, SR; Bogle, KA; Tsai, ML; Hianik, T; Shirsat, MD</t>
  </si>
  <si>
    <t>Fabrication of 3D bi-functional binder-free electrode by hydrothermal growth of MIL-101(Fe) framework on nickel foam: A supersensitive electrochemical sensor and highly stable supercapacitor</t>
  </si>
  <si>
    <t>Al-Ghafri, KS; Alabdala, AT; Redhwan, SS; Bazighifan, O; Ali, AH; Iambor, LF</t>
  </si>
  <si>
    <t>Symmetrical Solutions for Non-Local Fractional Integro-Differential Equations via Caputo-Katugampola Derivatives</t>
  </si>
  <si>
    <t>Bodkhe, GA; Siva, S; Hashem, M; Fouad, H; More, MS; Ingle, NN; Patil, HK; Obaid, SS; Kim, M; Shirsat, MD</t>
  </si>
  <si>
    <t>SCIENCE OF ADVANCED MATERIALS</t>
  </si>
  <si>
    <t>Single-Walled Carbon Nanotubes-Copper Metal-Organic Framework Composite for the Sensitive Detection of Lead Ions in Aqueous Solutions</t>
  </si>
  <si>
    <t>1947-2943</t>
  </si>
  <si>
    <t>Ramteke, SP; Baig, MI; Shkir, M; Kalainathan, S; Shirsat, MD; Muley, GG; Anis, M</t>
  </si>
  <si>
    <t>OPTICS AND LASER TECHNOLOGY</t>
  </si>
  <si>
    <t>Novel report on SHG efficiency, Z-scan, laser damage threshold, photoluminescence, dielectric and surface microscopic studies of hybrid inorganic ammonium zinc sulphate hydrate single crystal</t>
  </si>
  <si>
    <t>1879-2545</t>
  </si>
  <si>
    <t>Shinde, SS; Ahmed, S; Malik, JA; Hani, U; Khanam, A; Bhat, FA; Mir, SA; Ghazwani, M; Wahab, S; Haider, N; Almehizia, AA</t>
  </si>
  <si>
    <t>BIOLOGY-BASEL</t>
  </si>
  <si>
    <t>Therapeutic Delivery of Tumor Suppressor miRNAs for Breast Cancer Treatment</t>
  </si>
  <si>
    <t>2079-7737</t>
  </si>
  <si>
    <t>Salve, P; Vinchurkar, A; Raut, R; Chondekar, R; Lakkakula, J; Roy, A; Hossain, MJ; Alghamdi, S; Almehmadi, M; Abdulaziz, O; Allahyani, M; Dablool, AS; Sarker, MMR; Azlina, MFN</t>
  </si>
  <si>
    <t>An Evaluation of Antimicrobial, Anticancer, Anti-Inflammatory and Antioxidant Activities of Silver Nanoparticles Synthesized from Leaf Extract of Madhuca longifolia Utilizing Quantitative and Qualitative Methods</t>
  </si>
  <si>
    <t>Bradosty, SW; Hamad, SW; Agha, NFS; Shaikh, FK; Nanakali, NMQ; Aziz, PY; Salehen, N; Suzergoz, F; Abdulla, MA</t>
  </si>
  <si>
    <t>ENVIRONMENTAL TOXICOLOGY</t>
  </si>
  <si>
    <t>In vivo hepatoprotective effect of Morinda elliptica stem extract against liver fibrosis induced by thioacetamide</t>
  </si>
  <si>
    <t>1522-7278</t>
  </si>
  <si>
    <t>Masda, SG; Docobo, JA; Hussein, AM; Mardini, MK; Al-Ameryeen, HA; Campo, PP; Khan, AR; Pathan, JM</t>
  </si>
  <si>
    <t>ASTROPHYSICAL BULLETIN</t>
  </si>
  <si>
    <t>Physical and Dynamical Parameters of the Triple Stellar System: HIP 109951</t>
  </si>
  <si>
    <t>1990-3421</t>
  </si>
  <si>
    <t>Mohammed, BA; Senan, EM; Al-Mekhlafi, ZG; Rassem, TH; Makbol, NM; Alanazi, AA; Almurayziq, TS; Ghaleb, FA; Sallam, AA</t>
  </si>
  <si>
    <t>Multi-Method Diagnosis of CT Images for Rapid Detection of Intracranial Hemorrhages Based on Deep and Hybrid Learning</t>
  </si>
  <si>
    <t>Farea, MA; Mohammed, HY; Shirsat, SM; Ali, ZM; Tsai, ML; Yahia, IS; Zahran, HY; Shirsat, MD</t>
  </si>
  <si>
    <t>Impact of reduced graphene oxide on the sensing performance of Poly (3,4-ethylenedioxythiophene) towards highly sensitive and selective CO sensor: A comprehensive study</t>
  </si>
  <si>
    <t>Gaikwad, KD; Ubale, P; Khobragade, R; Deodware, S; Dhale, P; Asabe, MR; Ovhal, RM; Singh, P; Vishwanath, P; Shivamallu, C; Achar, RR; Silina, E; Stupin, V; Manturova, N; Shati, AA; Alfaifi, MY; Elbehairi, SEI; Gaikwad, SH; Kollur, SP</t>
  </si>
  <si>
    <t>Preparation, Characterization and In Vitro Biological Activities of New Diphenylsulphone Derived Schiff Base Ligands and Their Co(II) Complexes</t>
  </si>
  <si>
    <t>Mukerjee, N; Chaudhari, SY; Jha, S; Sinha, S; Jadhav, SB; Dhar, R; Rathod, VD; Nanaware, RB; Chakole, RD; Sharma, D; Sharma, PP; Pawar, SD; Ghosh, A</t>
  </si>
  <si>
    <t>INTERNATIONAL JOURNAL OF SURGERY</t>
  </si>
  <si>
    <t>Emerging hepatitis C virus and neuron-allied neuroviral intertwine and its therapeutic approaches</t>
  </si>
  <si>
    <t>1743-9159</t>
  </si>
  <si>
    <t>LIPPINCOTT WILLIAMS &amp; WILKINS</t>
  </si>
  <si>
    <t>Fatima, N; Sathish, KN; Pramod, AG; Hegde, V; Hivrekar, MM; Keshavamurthy, K; Swetha, BN; Ramesh, P; Albarzan, B; Almuqrin, AH; Sayyed, MI; Nadaf, YF; Jagannath, G</t>
  </si>
  <si>
    <t>Optimising the Eu2O3 concentration and tuning the photoluminescence attributes of Eu2O3 doped borate glasses by Co-doping with silver nanoparticles</t>
  </si>
  <si>
    <t>Kumar, S; Ahmad, MF; Nath, P; Roy, R; Bhattacharjee, R; Shama, E; Gahatraj, I; Sehrawat, M; Dasriya, V; Dhillon, HS; Puniya, M; Samtiya, M; Dhewa, T; Aluko, RE; Khedkar, GD; Raposo, A; Puniya, AK</t>
  </si>
  <si>
    <t>JOURNAL OF MEDICINAL FOOD</t>
  </si>
  <si>
    <t>Controlling Intestinal Infections and Digestive Disorders Using Probiotics</t>
  </si>
  <si>
    <t>1557-7600</t>
  </si>
  <si>
    <t>Hivrekar, MM; Jagannath, G; Pramod, AG; Aloraini, DA; Almuqrin, AH; Sayyed, MI; Keshavamurthy, K; Hegde, V; Sathish, KN; Pasha, UM; Rao, SV; Yasmin, S; Jadhav, KM</t>
  </si>
  <si>
    <t>OPTICAL MATERIALS</t>
  </si>
  <si>
    <t>Third-order nonlinear optical properties of Sm2O3 activated cadmium alkali borate glasses</t>
  </si>
  <si>
    <t>1873-1252</t>
  </si>
  <si>
    <t>Dr. ARVIND SHANKARRAO DHABE</t>
  </si>
  <si>
    <t>"Herbal medicinal Wealth : Utilization with Conservation"</t>
  </si>
  <si>
    <t>-</t>
  </si>
  <si>
    <t>ISBN: 978-81-95508556</t>
  </si>
  <si>
    <t>Rajrarshi Prakashan, Pune</t>
  </si>
  <si>
    <t>(View File)</t>
  </si>
  <si>
    <t>-Herbal Medicinal Wealth: Utilization with Conservation</t>
  </si>
  <si>
    <t>Rajarshi Prakashan, Udgir</t>
  </si>
  <si>
    <t>Dr. BHAGWAN KASHIRAM SAKHALE</t>
  </si>
  <si>
    <t>Nutritional Values &amp; Processing of Tropical Tuber Crops</t>
  </si>
  <si>
    <t>Apple Academic Press, USA</t>
  </si>
  <si>
    <t>Rheological Properties of Dough</t>
  </si>
  <si>
    <t>978-93-89130-44-7</t>
  </si>
  <si>
    <t>New India Publishing Agency, New Delhi</t>
  </si>
  <si>
    <t>Sweet Potato: Nutritional Quality &amp; Processing Technology</t>
  </si>
  <si>
    <t>978-1-53618-611-6</t>
  </si>
  <si>
    <t>Nova Science Publisher, Inc., New York, USA</t>
  </si>
  <si>
    <t>Natural Food Antioxidants</t>
  </si>
  <si>
    <t>978-3-030-78161-3</t>
  </si>
  <si>
    <t>Springer, Cham.</t>
  </si>
  <si>
    <t>Grape Polyphenolics</t>
  </si>
  <si>
    <t>Advances in Antimicrobial Food Packaging</t>
  </si>
  <si>
    <t>978-81-945201-3-9</t>
  </si>
  <si>
    <t>Chemical Engineering Division, The Institution of Engineers (India), (IEI), Kolkata</t>
  </si>
  <si>
    <t>Application of Novel Chemicals for Shelf-Life Extension of Fruits and Vegetables</t>
  </si>
  <si>
    <t>Processing Technology for Development of Little Millet Based Probiotic Rice</t>
  </si>
  <si>
    <t>Basic and Applied Concepts of Edible Packaging for Food Preservation</t>
  </si>
  <si>
    <t>Daya Publishing House® A Division of Astral International Pvt.Ltd. New Delhi</t>
  </si>
  <si>
    <t>Processing of Turmeric and Ginger</t>
  </si>
  <si>
    <t>Integrated Publications, Delhi</t>
  </si>
  <si>
    <t>Natural Antioxidants in Disease Prevention</t>
  </si>
  <si>
    <t>Brillion Publishing, New Delhi</t>
  </si>
  <si>
    <t>Daya Publishing House</t>
  </si>
  <si>
    <t>Enzymatic extraction of pigments from agro-processing waste</t>
  </si>
  <si>
    <t>978-0-323-89928-4</t>
  </si>
  <si>
    <t>Academic Press, UK</t>
  </si>
  <si>
    <t>https://doi.org/10.1016/B978-0-323-89928-4.00006-7</t>
  </si>
  <si>
    <t>Millet based Indian flat breads</t>
  </si>
  <si>
    <t>Microencapsulation of Natural Pigments</t>
  </si>
  <si>
    <t>Role of Phytochemicals in Human Health</t>
  </si>
  <si>
    <t>Supercritical Fluid Technique: Recent Trends in Food Processing</t>
  </si>
  <si>
    <t>Applications of Microwave Technology in Food Processing</t>
  </si>
  <si>
    <t>Potential of Ultrasound Technology in Nutraceuticals and Pharmaceuticals</t>
  </si>
  <si>
    <t>Importance and Extraction Techniques of Functional Components</t>
  </si>
  <si>
    <t>978-0-443-19143-5</t>
  </si>
  <si>
    <t>Elsevier Inc., Cambridge USA</t>
  </si>
  <si>
    <t>Functional Beverages: An Emerging Trend in Beverage World</t>
  </si>
  <si>
    <t>https://doi.org/10.1016/B978-0-443-19143-5.00002-5</t>
  </si>
  <si>
    <t>Alkaloids as Potential Anti-Cancer Agent</t>
  </si>
  <si>
    <t>https://doi.org/10.1016/B978-0-443-19143-5.00034-7</t>
  </si>
  <si>
    <t>Bioactivity, Medicinal Applications and Chemical Compositions of essential oils: Detailed Perspectives</t>
  </si>
  <si>
    <t>https://doi.org/10.1016/B978-0-443-19143-5.00010-4</t>
  </si>
  <si>
    <t>New Perspectives and Role of Phytochemicals in Biofilm Inhibition</t>
  </si>
  <si>
    <t>Dr. BHASKAR RAMCHANDRA SATHE</t>
  </si>
  <si>
    <t>Bioactive Cermic Composite MaterialStability, Charactrization and Binding to Bone, V.H. Ingole, B. R. Satheand A. V. Ghule in Book-Fundamental Biomaterials: Ceramics</t>
  </si>
  <si>
    <t>978-0-08-102203-0</t>
  </si>
  <si>
    <t>Woodhead Publishing</t>
  </si>
  <si>
    <t>https://doi.org/10.1016/B978-0-08-102203-0.00012-3</t>
  </si>
  <si>
    <t>Dr. Bhaskar ramchandra sathe</t>
  </si>
  <si>
    <t>-Supercapacitors based on two-dimensional metal oxides, hydroxides, and its graphene-based hybrids, in Book-Fundamentals and Supercapacitor Applications of 2D Materials, DOI: 10.1016/B978-0-12-821993-5.00008-X</t>
  </si>
  <si>
    <t>978-0-12-821993-5</t>
  </si>
  <si>
    <t>Elsevier</t>
  </si>
  <si>
    <t>https://doi.org/10.1016/B978-0-12-821993-5.00008-X</t>
  </si>
  <si>
    <t>-Engineering two-dimensional materials for high-performance supercapacitor devices, in Book - Fundamentals and Supercapacitor Applications of 2D Materials</t>
  </si>
  <si>
    <t>Dr. SUNIL GOVIND SHANKARWAR</t>
  </si>
  <si>
    <t>CZTS Nanocrystals: New Scientific Strategies and Electrocatalytic Water Splitting Reactions-</t>
  </si>
  <si>
    <t>978-1636485706</t>
  </si>
  <si>
    <t>Eliva Press Europe</t>
  </si>
  <si>
    <t>https://www.elivapress.com/en/book/book-5398038611/</t>
  </si>
  <si>
    <t>Complex Metal Oxide Compounds and Composites Designed for High-Temperature Solid Electrolyte based Oxygen, Hydrogen Gas Sensors, on book topic "Complex and composite metal oxides for gas, VOCs and humidity sensors"</t>
  </si>
  <si>
    <t>------</t>
  </si>
  <si>
    <t>Complex and Composite Metal Oxides for Gas VOC and Humidity Sensors</t>
  </si>
  <si>
    <t>http://dx.doi.org/10.1016/B978-0-323-95385-6.00011-8</t>
  </si>
  <si>
    <t>Supercapacitors based on two-dimensional metal oxides, hydroxides, and its graphene-based hybrids, in Book-Fundamentals and Supercapacitor Applications of 2D Materials,</t>
  </si>
  <si>
    <t>ISBN 978-0-12-821993-5</t>
  </si>
  <si>
    <t>-------</t>
  </si>
  <si>
    <t>Engineering two-dimensional materials for high-performance supercapacitor devices, in Book - Fundamentals and Supercapacitor Applications of 2D Materials</t>
  </si>
  <si>
    <t>-----</t>
  </si>
  <si>
    <t>Dr. Kishan Prabhu Haval</t>
  </si>
  <si>
    <t>Modern Green Chemistry and Heterocyclic Compounds</t>
  </si>
  <si>
    <t>Apple Academic Press</t>
  </si>
  <si>
    <t>The Comparative Study of Biologically Active Agents</t>
  </si>
  <si>
    <t>978-613-8-93879-8</t>
  </si>
  <si>
    <t>Scholar’s Press</t>
  </si>
  <si>
    <t>Dr. Meghshyam Keshvarao Patil</t>
  </si>
  <si>
    <t>Advances in Metal Oxides and Their Composites for Emerging Applications</t>
  </si>
  <si>
    <t>978-0-323-85705-5</t>
  </si>
  <si>
    <t>Elsevier publications</t>
  </si>
  <si>
    <t>Dr. Radhakrishnan Machindranath Tigote</t>
  </si>
  <si>
    <t>DFT based study of Biological Active Heterocyclic Compounds</t>
  </si>
  <si>
    <t>978-620-5-5-51030-8</t>
  </si>
  <si>
    <t>LAP LAMBERT Academic Publishing</t>
  </si>
  <si>
    <t>Recent advances of Nanotechnology in chemical Science</t>
  </si>
  <si>
    <t>979-8-88697-800-1</t>
  </si>
  <si>
    <t>Nova Science Publisher IN</t>
  </si>
  <si>
    <t>Dr. Farah Naaz Gauri</t>
  </si>
  <si>
    <t>Inclusive Growth and Sustainable Development -Emerging Trends and Challenges</t>
  </si>
  <si>
    <t>ISBN No. 978-93-83741-29-8</t>
  </si>
  <si>
    <t>Mirza World Book House Aurangabad</t>
  </si>
  <si>
    <t>Inclusive Growth and Sustainable Development -Emerging Trends and Challenges-2020</t>
  </si>
  <si>
    <t>ISBN No.978-93-83741-39-7</t>
  </si>
  <si>
    <t>Dr. JAYSHREE RAJESH SURYAWANSHI</t>
  </si>
  <si>
    <t>Policy Incentives and Their Impact on Development of Marathwada</t>
  </si>
  <si>
    <t>ISBN: 978-93-90005-28-4</t>
  </si>
  <si>
    <t>Educational Publisher</t>
  </si>
  <si>
    <t>Review of operational issues and Prospects of Commercial Banks in Current Scenario</t>
  </si>
  <si>
    <t>ISBN:978-81-949580-9-3</t>
  </si>
  <si>
    <t>Romanson Printing and Publishing House Pvt. Ltd.</t>
  </si>
  <si>
    <t>Women at 2021</t>
  </si>
  <si>
    <t>ISBN:978-93-5457-759-8</t>
  </si>
  <si>
    <t>Research Center in Commerce and Management Smt. D.M. Mahavidyalaya Jalna</t>
  </si>
  <si>
    <t>Dr. SYED AZHARUDDIN ARIFUDDIN</t>
  </si>
  <si>
    <t>International Trade</t>
  </si>
  <si>
    <t>978-81-952125-4-5</t>
  </si>
  <si>
    <t>Universal Academic Books Publishers and Distributors Delhi 92</t>
  </si>
  <si>
    <t>Financial Management</t>
  </si>
  <si>
    <t>978-81-932820-9-0</t>
  </si>
  <si>
    <t>Dr. SACHIN NILKANTHRAO DESHMUKH</t>
  </si>
  <si>
    <t>Advances in Intelligent Systems and Computing</t>
  </si>
  <si>
    <t>978-981-13-1513-8</t>
  </si>
  <si>
    <t>Springer, Singapore</t>
  </si>
  <si>
    <t>978-981-13-0617-4</t>
  </si>
  <si>
    <t>Communication and Electronics Systems (ICCES)</t>
  </si>
  <si>
    <t>978-1-5386-4765-3</t>
  </si>
  <si>
    <t>Computing Communication Control and Automation (ICCUBEA)</t>
  </si>
  <si>
    <t>978-1-5386-4008-1</t>
  </si>
  <si>
    <t>Dr. RAMESH RAYBHAN MANZA</t>
  </si>
  <si>
    <t>Design a Novel Detection for Maculopathy Using Weightage KNN Classification</t>
  </si>
  <si>
    <t>1865-0937</t>
  </si>
  <si>
    <t>Springer</t>
  </si>
  <si>
    <t>https://link.springer.com/chapter/10.1007/978-981-13-9184-2_32</t>
  </si>
  <si>
    <t>Detection and Classification of Non-Proliferative Diabetic Retinopathy Lesions</t>
  </si>
  <si>
    <t>CRC Press</t>
  </si>
  <si>
    <t>https://www.taylorfrancis.com/chapters/edit/10.1201/9780429029417-6/detection-classification-non-proliferative-diabetic-retinopathy-lesions-ramesh-manza-bharti-gawali-pravin-yannawar-santosh</t>
  </si>
  <si>
    <t>IPhone And Android Mobile App For Detecting The Diabetic Retinopath</t>
  </si>
  <si>
    <t>Shroff Publishers &amp; Distributors (I) Pvt Ltd</t>
  </si>
  <si>
    <t>https://www.shroffpublishers.com/books/9789352137053/</t>
  </si>
  <si>
    <t>Emerging Areas in Bioinformatics</t>
  </si>
  <si>
    <t>Dr. KARBHARI VISHWANATH KALE</t>
  </si>
  <si>
    <t>Processing and Analysis of Hyperspectral Data</t>
  </si>
  <si>
    <t>978-1-78985-110-6</t>
  </si>
  <si>
    <t>IntechOpen</t>
  </si>
  <si>
    <t>Dr. RATNADEEP RAGHUNATHRAO DESHMUKH</t>
  </si>
  <si>
    <t>Analysis of Cardiac MRI to recognize Cardiovascular disease by ASTAnalysis of Cardiac MRI to recognize Cardiovascular disease by ASTAnalysis of Cardiac MRI to recognize Cardiovascular disease by ASTAnalysis of Cardiac MRI to recognize Cardiovascular disease by ASTAnalysis of Cardiac MRI to recognize Cardiovascular disease by AST</t>
  </si>
  <si>
    <t>Scholars Press,International Book Market Service Ltd.,Member of OmniScriptum Publishing Group,</t>
  </si>
  <si>
    <t>Spectral Biometric System for Human Identification and Recognition</t>
  </si>
  <si>
    <t>Discrimination Between Healthy and Diseased Cotton Plant by Using Hyperspectral Reflectance Data</t>
  </si>
  <si>
    <t>978-981-13-9187-3</t>
  </si>
  <si>
    <t>springer</t>
  </si>
  <si>
    <t>NA</t>
  </si>
  <si>
    <t>Brijesh IyerP. S. DeshpandeS. C. SharmaUlhas Shiurkar</t>
  </si>
  <si>
    <t>IntechOpen Open access peer-reviewed chapter</t>
  </si>
  <si>
    <t>Jie Chen, Northwestern Polytechnical University</t>
  </si>
  <si>
    <t>Dr. PRAVIN LAXMIKANT YANNAWAR</t>
  </si>
  <si>
    <t>Advances in Cybernetics, Cognition, and Machine Learning for Communication </t>
  </si>
  <si>
    <t>978-981-15-3124-8</t>
  </si>
  <si>
    <t>978-0-367-13961-2</t>
  </si>
  <si>
    <t>CRC</t>
  </si>
  <si>
    <t>-Analysis of Image Inconsistency Based on Discrete Cosine Transform (DCT)</t>
  </si>
  <si>
    <t>978-981-13-1742-2</t>
  </si>
  <si>
    <t>978-981-10-8639-7</t>
  </si>
  <si>
    <t>A Robust Voice-Based Color Object Detection System for Robot</t>
  </si>
  <si>
    <t>978-981-10-8201-6</t>
  </si>
  <si>
    <t>Emerging Areas In Bioinformatics</t>
  </si>
  <si>
    <t>Shroff Publisher &amp; Distributer Pvt. Ltd.</t>
  </si>
  <si>
    <t>https://www.cb-india.com/books/computer-science/bioinformatics/emerging-areas-in-bioinformatics-en/</t>
  </si>
  <si>
    <t>Prediction of Prediabetes, No Diabetes and Diabetes Mellitus-2 using Pattern Recognition</t>
  </si>
  <si>
    <t>978-981-15-6014-9</t>
  </si>
  <si>
    <t>https://link.springer.com/chapter/10.1007/978-981-15-6014-9_90</t>
  </si>
  <si>
    <t>Extraction and counting the Microanurysm for early Diagnosis of diabetic Maculopathy</t>
  </si>
  <si>
    <t>978-981-15-6014-10</t>
  </si>
  <si>
    <t>Identification of Educationally backward Countries in Primary, Secondary and Tertiary Level Students By Using Different Classification Techniques</t>
  </si>
  <si>
    <t>978-981-15-6014-11</t>
  </si>
  <si>
    <t>https://link.springer.com/chapter/10.1007/978-981-15-6014-9_91</t>
  </si>
  <si>
    <t>Image Scene Segmentation and Recognition on Texture Base Approach</t>
  </si>
  <si>
    <t>978-93-84698-18-8</t>
  </si>
  <si>
    <t>Advance Academic Publisher</t>
  </si>
  <si>
    <t>Dr. Mukta Gangadhar Dhopeshwarkar</t>
  </si>
  <si>
    <t>Rising Threats in Expert Applications and Solutions</t>
  </si>
  <si>
    <t>Springer Nature Singapore Pte Ltd. 2021</t>
  </si>
  <si>
    <t>Lecture Notes on Data Engineering and Communications Technologies, vol 16. Springer,Singapore.</t>
  </si>
  <si>
    <t>978-981-10-7640-4</t>
  </si>
  <si>
    <t>Springer nature ,Singapore</t>
  </si>
  <si>
    <t>Dr. SONALI BHAGWANRAO KULKARNI</t>
  </si>
  <si>
    <t>Survey Of Progressive Era Of Text Summarization For Indian And Foreign Languages Using Natural Language Processing</t>
  </si>
  <si>
    <t>978-3-030-38040-3</t>
  </si>
  <si>
    <t>https://link.springer.com/chapter/10.1007/978-3-030-38040-3_74</t>
  </si>
  <si>
    <t>A Survey of Distinctive Prominence of Automatic Text Summarization Techniques Using Natural Language Processing</t>
  </si>
  <si>
    <t>978-3-030-49795-8</t>
  </si>
  <si>
    <t>http://dx.doi.org/10.1007/978-3-030-49795-8_52</t>
  </si>
  <si>
    <t>Brain Tumor Detection Using Digital Image Processing</t>
  </si>
  <si>
    <t>978-620-0-28887-5</t>
  </si>
  <si>
    <t>LAP LAMBERT Academic International Publication</t>
  </si>
  <si>
    <t>Dr. NAMRATA MAHENDER C</t>
  </si>
  <si>
    <t>Handbook of Research on Natural Language Processing and Smart Service Systems, 2021.</t>
  </si>
  <si>
    <t>IGI Global</t>
  </si>
  <si>
    <t> Lecture Notes in Electrical Engineering book series </t>
  </si>
  <si>
    <t>978-981-15-7960-8</t>
  </si>
  <si>
    <t>EAI/Springer Innovations in Communication and Computing book series (EAISICC</t>
  </si>
  <si>
    <t>978-3-030-49794-1</t>
  </si>
  <si>
    <t>Programming Aspects of Core Java for Bioinformatics</t>
  </si>
  <si>
    <t>Shroff Publishers and Distributors Pvt Ltd</t>
  </si>
  <si>
    <t>-Machine Learning Based Prediction Techniques</t>
  </si>
  <si>
    <t>Projects in Pattern Recognition Using MATLAB</t>
  </si>
  <si>
    <t>Brain Computer Interface Techniques for Brain Rhythms in Meditation-</t>
  </si>
  <si>
    <t>978-620-3-30581-4.</t>
  </si>
  <si>
    <t>LAP LAMBERT</t>
  </si>
  <si>
    <t>SPRINGER CCSI - RECENT TRENDS IN IMAGE PROCESSINGAND PATTERN RECOGNITION</t>
  </si>
  <si>
    <t>978-981-16-0507</t>
  </si>
  <si>
    <t>Statistical Analysis of Soil properties using Non-Imaging Spectral data for quantitative analysis of Raver Tehsil</t>
  </si>
  <si>
    <t>Analysis of Characteristic Ranking and Characteristic Subset Selection Algorithm for Epileptic Seizure Prediction</t>
  </si>
  <si>
    <t>978-81951034-5-4</t>
  </si>
  <si>
    <t>Dr. vaishali kESHAV BODELE</t>
  </si>
  <si>
    <t>Multi Lingual research journal in Media</t>
  </si>
  <si>
    <t>2455-2046</t>
  </si>
  <si>
    <t>Dr.Reksha Shelke</t>
  </si>
  <si>
    <t>Media Massenger</t>
  </si>
  <si>
    <t>Dr. VAISHALI KESHAV BODELE</t>
  </si>
  <si>
    <t>Kala Bharti Research Journal</t>
  </si>
  <si>
    <t>issue 1 volume 1</t>
  </si>
  <si>
    <t>Dr,Vinod Indurkar</t>
  </si>
  <si>
    <t>Peer revived referer and UGC listed journal</t>
  </si>
  <si>
    <t>Impact factor/index c 2019-6.399</t>
  </si>
  <si>
    <t>Ajanta Publication</t>
  </si>
  <si>
    <t>Current global reviver peer reivived multidisciplinary international research journal</t>
  </si>
  <si>
    <t>2319-8648 impact factor 7.139</t>
  </si>
  <si>
    <t>Mr.Arun B.Godam</t>
  </si>
  <si>
    <t>Natya dharetil vividh natya lahari</t>
  </si>
  <si>
    <t>978-81-953694-4-7</t>
  </si>
  <si>
    <t>Chinmay Publication</t>
  </si>
  <si>
    <t>Importance of various elements of society in folk art and folklore</t>
  </si>
  <si>
    <t>978-81-960143-0-8</t>
  </si>
  <si>
    <t>Lokayan Publication</t>
  </si>
  <si>
    <t>Mr. gAJANAN JAIVANTRAO DANDGE</t>
  </si>
  <si>
    <t>Dr. ASHOK SHANKARRAO PAWAR</t>
  </si>
  <si>
    <t>Vidyawarta</t>
  </si>
  <si>
    <t>Dr. R. K. Ippar</t>
  </si>
  <si>
    <t>Hind E Saltanat Hemchandra Banjara</t>
  </si>
  <si>
    <t>24 by 7 publishing</t>
  </si>
  <si>
    <t>Dr. DHANASHRI JAYANT MAHAJAN</t>
  </si>
  <si>
    <t>Human Dvelopmetn Index for Maharashtra</t>
  </si>
  <si>
    <t>a</t>
  </si>
  <si>
    <t>Development of Marathwada Opportunities and Challenges</t>
  </si>
  <si>
    <t>Educational Publishers</t>
  </si>
  <si>
    <t>Dr. SUNIL SHESHRAO NARWADE</t>
  </si>
  <si>
    <t>Agricultural and Rural Development in Backward Regions in India</t>
  </si>
  <si>
    <t>978-81-949560-9-9</t>
  </si>
  <si>
    <t>Kailash Publication</t>
  </si>
  <si>
    <t>Mahatashtratil Jamin Adhigrahnache Arthik V Samajik Parinam</t>
  </si>
  <si>
    <t>978-81-949560-0-6</t>
  </si>
  <si>
    <t>Sahid Bilas Bhai Mansing</t>
  </si>
  <si>
    <t>978-93-576819-4-0</t>
  </si>
  <si>
    <t>24by7publishing.com</t>
  </si>
  <si>
    <t>Hind E Ratna Maluki Banjaran</t>
  </si>
  <si>
    <t>978-93-90979-62-2</t>
  </si>
  <si>
    <t>Akansha Banjara Global Publicaiton</t>
  </si>
  <si>
    <t>Lakhisaha Banjara</t>
  </si>
  <si>
    <t>Akansha Banjara Global Publication</t>
  </si>
  <si>
    <t>Ms. SANTWANA GOPALCHANDRA MISHRA</t>
  </si>
  <si>
    <t>Correlation of Variables in Educational Research</t>
  </si>
  <si>
    <t>ISBN 978-93-5220-237-9</t>
  </si>
  <si>
    <t>SaketPrakashan, Aurangabad.</t>
  </si>
  <si>
    <t>Dr. SUHAS SAKHARAM PATHAK</t>
  </si>
  <si>
    <t>Bharita Shikshan</t>
  </si>
  <si>
    <t>ISSN 2231-6493</t>
  </si>
  <si>
    <t>Bhirta Shishakan</t>
  </si>
  <si>
    <t>978-93-5220-237-9</t>
  </si>
  <si>
    <t>Saket Prakashan</t>
  </si>
  <si>
    <t>Dr. PRASHANT BHIMSEN PAGARE</t>
  </si>
  <si>
    <t>-Management and Expenditure on Higher Education</t>
  </si>
  <si>
    <t>978-93-5324-963-2</t>
  </si>
  <si>
    <t>KALPAZ Publication- Gyan Press –Delhi</t>
  </si>
  <si>
    <t>Dr. MAHESHWAR GANGADHAR KALLAVE</t>
  </si>
  <si>
    <t>New Trends in Education</t>
  </si>
  <si>
    <t>Aaditya Publication</t>
  </si>
  <si>
    <t>Epistemology of Karmayoga (Marathi)</t>
  </si>
  <si>
    <t>978-93-84267-32-2</t>
  </si>
  <si>
    <t>Abhang Prakashan, Nanded</t>
  </si>
  <si>
    <t>Dr. MANISHA DIGAMBARRAO ASORE</t>
  </si>
  <si>
    <t>21st century skills: An Analysis of MOOCs for College students</t>
  </si>
  <si>
    <t>2321-1075</t>
  </si>
  <si>
    <t>NAS Publishers</t>
  </si>
  <si>
    <t>MOOCs- Massive Open Online Courses for Soft Skills Development</t>
  </si>
  <si>
    <t>2258-5655</t>
  </si>
  <si>
    <t>Arhat Publications and Arhat Journals</t>
  </si>
  <si>
    <t>Historical Perspectives of Reforms in In-Service Teacher Education in India</t>
  </si>
  <si>
    <t>Role of SWAYAM in Professional Development</t>
  </si>
  <si>
    <t>Educational Thoughts of Dr. Babasaheb Ambedkar (In Marathi)</t>
  </si>
  <si>
    <t>Micro-Teaching Skills for Higher Education Faculty</t>
  </si>
  <si>
    <t>NEP-2020 FOR School Education</t>
  </si>
  <si>
    <t>Research Proposal: Structure and application</t>
  </si>
  <si>
    <t>Impact of COVID-19 on Professional Development programmes for Teachers in India</t>
  </si>
  <si>
    <t>New Trends in Interdisciplinary Education</t>
  </si>
  <si>
    <t>LMS- Learning Management System as an Emerging Educational Technology in India- Issues &amp; Challenges</t>
  </si>
  <si>
    <t>0973-0087</t>
  </si>
  <si>
    <t>Deapartment of Philosophy,Ravindra Bharti University, Kolkatta</t>
  </si>
  <si>
    <t>National Education Policy 2020: SWOT Analysis</t>
  </si>
  <si>
    <t>D.P.B. Dayanand College of Education, Solapur</t>
  </si>
  <si>
    <t>Constructivism Approach of teaching and Implementation of teachers role</t>
  </si>
  <si>
    <t>Indian Institute of Education, Pune</t>
  </si>
  <si>
    <t>Educational philosophy from the point of view of Eastern Educationist (Matahti)</t>
  </si>
  <si>
    <t>YCMOU, Nashik</t>
  </si>
  <si>
    <t>1. Social media and child safety 2. The role of human factors in relation to child safety</t>
  </si>
  <si>
    <t>SCERT, Pune</t>
  </si>
  <si>
    <t>E-Governance and E Learning</t>
  </si>
  <si>
    <t>HRDC, Dr. B. A. M. University, Aurangabad</t>
  </si>
  <si>
    <t>Teacher Educator</t>
  </si>
  <si>
    <t>HRDC, S.G.B. Amravati University, Amravati</t>
  </si>
  <si>
    <t>Dr. JITENDRA SUBHASH SHINDE</t>
  </si>
  <si>
    <t>Gurukul International Multidisciplinary Research Journal</t>
  </si>
  <si>
    <t>2394-8426</t>
  </si>
  <si>
    <t>Gurukul International Publishing Services</t>
  </si>
  <si>
    <t>https://journals.indexcopernicus.com/search/details?id=42886</t>
  </si>
  <si>
    <t>AAYUSHI INTERNATIONAL INTERDISCIPLINARY RESEARCH JOURNAL Vol-VIII Issue-XII 2021</t>
  </si>
  <si>
    <t>2349-638X</t>
  </si>
  <si>
    <t>Tribal Community and Education</t>
  </si>
  <si>
    <t>978-93-90483-10-5</t>
  </si>
  <si>
    <t>Satyam Publication</t>
  </si>
  <si>
    <t>Distance Education and New Methods</t>
  </si>
  <si>
    <t>Prashant Publication</t>
  </si>
  <si>
    <t>The Initiatives taken by Higher Education Institution for “Swach Bharat Abhiyaan”</t>
  </si>
  <si>
    <t>2456-4184</t>
  </si>
  <si>
    <t>https://www.ijnrd.org/papers/IJNRD2305158.pdf</t>
  </si>
  <si>
    <t>Dr. ANANDKUMAR SHIVAJIRAO UBALE</t>
  </si>
  <si>
    <t>Perceptions and Perspectives</t>
  </si>
  <si>
    <t>Saurav Publication Aurangabad</t>
  </si>
  <si>
    <t>Art and Aesthetics of Modern Mythopoeia : Literature Revisionism Vol. II</t>
  </si>
  <si>
    <t>Demythologizing the Hegemonic Myth: Jotirao Phules Slavery</t>
  </si>
  <si>
    <t>978-81-945995-1-7</t>
  </si>
  <si>
    <t>Vishwanath KavirajInstitute of Comparative Literature and Aesthetics</t>
  </si>
  <si>
    <t>-Demytholozing The Hegeonic Myth: Jotirao Phles Slavery</t>
  </si>
  <si>
    <t>Rudra Publishers and Distributors</t>
  </si>
  <si>
    <t>Dr. MUSTAJEEB AHMED MASOOD AHMED KHAN</t>
  </si>
  <si>
    <t>-Yashwantrao chavan Maharastra Mukat Vidhyapth</t>
  </si>
  <si>
    <t>ISBN 978-81-19453-07-8</t>
  </si>
  <si>
    <t>YaAshwantrao chavan Maharastra Mukat Vidhyapth, Nasik</t>
  </si>
  <si>
    <t>MOGHAL THE EMPERORS OF THE WORLD</t>
  </si>
  <si>
    <t>ISBN978-81-952790-8-1</t>
  </si>
  <si>
    <t>SADHANA PUBLICATION PUNE</t>
  </si>
  <si>
    <t>-SATR LIKE ALL DRERAMERS</t>
  </si>
  <si>
    <t>ISBN-978-81-960356-7-9</t>
  </si>
  <si>
    <t>VARNAMUDRA PUBLISHERS</t>
  </si>
  <si>
    <t>Dr. MEHRUNNISA SAHEBLAL PATHAN</t>
  </si>
  <si>
    <t>-excels international journal</t>
  </si>
  <si>
    <t>ISSN 2277-7539</t>
  </si>
  <si>
    <t>excels international journal</t>
  </si>
  <si>
    <t>Dr. GOVIND DIGAMBAR KOKANE</t>
  </si>
  <si>
    <t>Integrating Communication Through Technology</t>
  </si>
  <si>
    <t>978-93-88671-19-4</t>
  </si>
  <si>
    <t>Skylight Publication Pune</t>
  </si>
  <si>
    <t>William Shakespeares Macbeth : A Critical Study</t>
  </si>
  <si>
    <t>978-81-269-3124-8</t>
  </si>
  <si>
    <t>Atlantic Publishers New Delhi</t>
  </si>
  <si>
    <t>Dr. RAMESH BABURAOA CHOUGULE</t>
  </si>
  <si>
    <t>Online Short Term Course</t>
  </si>
  <si>
    <t>Faculty Development Program on Cyber Security</t>
  </si>
  <si>
    <t>Dr. Ramesh Baburao Chougule</t>
  </si>
  <si>
    <t>Kiran Desais Inheritance of Loss : A Postcolonial Approach</t>
  </si>
  <si>
    <t>Notion Press</t>
  </si>
  <si>
    <t>Dr. Govind Digambar Kokane</t>
  </si>
  <si>
    <t>Ecocriticism : Vital Concerns of Ecology in Critical Theory</t>
  </si>
  <si>
    <t>Atlantic Publishers</t>
  </si>
  <si>
    <t>Indian English Literature : Critical Insights</t>
  </si>
  <si>
    <t>978-1-68487-899-4</t>
  </si>
  <si>
    <t>https://notionpress.com/read/indian-english-literature-critical-insights</t>
  </si>
  <si>
    <t>Dr. MAHADEO BALIRAM MULE</t>
  </si>
  <si>
    <t>Growth and Environment in the Challenging time : The strategies Ahed</t>
  </si>
  <si>
    <t>Lulu Pulications,3101, Hillsborough St.Raleigh, NC 27607,USA</t>
  </si>
  <si>
    <t>Solid waste management</t>
  </si>
  <si>
    <t>Lambert Academic Pulications, Germany</t>
  </si>
  <si>
    <t>Ms. YOGITA LAXMANRAO PADME</t>
  </si>
  <si>
    <t>Hydrology of Surface Water- A case study of Aurangabad,</t>
  </si>
  <si>
    <t>978-93-90253-2</t>
  </si>
  <si>
    <t>Current Publication , Agra282010</t>
  </si>
  <si>
    <t>Dr. NARSINGRAO NARAYANSWAMy BANDELA</t>
  </si>
  <si>
    <t>Operation of wastewater treatment plant - A handbook</t>
  </si>
  <si>
    <t>Redshine Publications</t>
  </si>
  <si>
    <t>Scenario of effect of waste water discharge on water reservoires in Aurangabad city</t>
  </si>
  <si>
    <t>redshine Publications</t>
  </si>
  <si>
    <t>Dr. SATISH SUDHAKARRAO PATIL</t>
  </si>
  <si>
    <t>Biotechnological approach for wastewater management: Constructed wetlands is a gree solution</t>
  </si>
  <si>
    <t>Emerging trends in envirionmetal biotechnology</t>
  </si>
  <si>
    <t>An overview of research and application of various activated carbons and ash used in water purification technology</t>
  </si>
  <si>
    <t>BP International</t>
  </si>
  <si>
    <t>Mr. JITENDRA KALANU PAWAR</t>
  </si>
  <si>
    <t>AJANATA PUBLICATION</t>
  </si>
  <si>
    <t>ISSN- 2277-5730</t>
  </si>
  <si>
    <t>Ajanta Prakashan</t>
  </si>
  <si>
    <t>Dr. GAJANAN NIVRUTTIRAO PHEREKAR</t>
  </si>
  <si>
    <t>21 Century New Media in Techiques in Fine Art</t>
  </si>
  <si>
    <t>Dr. VIKASH SHAMBHU KUMAR</t>
  </si>
  <si>
    <t>-learn traditional chinese- I</t>
  </si>
  <si>
    <t>Prowess</t>
  </si>
  <si>
    <t>Dr. Sanjay MANIKRAO NAWALE</t>
  </si>
  <si>
    <t>Hindi Sahitya ki Vaicharik Pusthabhumi</t>
  </si>
  <si>
    <t>Aman Prakashan Uttar Pradesh</t>
  </si>
  <si>
    <t>Dr. SANJAY SHESHRAO RATHOD</t>
  </si>
  <si>
    <t>aadhunik hindi kavya ka Etihas</t>
  </si>
  <si>
    <t>978-93-80760-71-1</t>
  </si>
  <si>
    <t>Atual Prakshation Kanpur</t>
  </si>
  <si>
    <t>Dr. SUDHAKAR RAMBHAU SHENDAGE</t>
  </si>
  <si>
    <t>Bharatiya Natak</t>
  </si>
  <si>
    <t>Y.C.M.O.U</t>
  </si>
  <si>
    <t>Bharatiya Kavita</t>
  </si>
  <si>
    <t>sancharika, Hindi vibhag Suwarn jayanti visheshshank</t>
  </si>
  <si>
    <t>0976-3775</t>
  </si>
  <si>
    <t>sancharika,</t>
  </si>
  <si>
    <t>Dr. BHARATI BALBHIMRAJ GORE</t>
  </si>
  <si>
    <t>Hum Bharat k Log</t>
  </si>
  <si>
    <t>978-93-5361-095-1</t>
  </si>
  <si>
    <t>Chandragupta Samita Aurangabad</t>
  </si>
  <si>
    <t>Ms. BHARATI BALBHIMRAJ GORE</t>
  </si>
  <si>
    <t>Hindi Gajal ka Paridrush</t>
  </si>
  <si>
    <t>978-93-86248-40-8</t>
  </si>
  <si>
    <t>Vidya Prakashan Kanpur</t>
  </si>
  <si>
    <t>Kisan Atmhatya Yathartha Aur vikalpa</t>
  </si>
  <si>
    <t>978-93-87889-40-8</t>
  </si>
  <si>
    <t>Vani Prashation New Delhi</t>
  </si>
  <si>
    <t>Daiskora Sahitya Sangam</t>
  </si>
  <si>
    <t>978-99949-948-3-0</t>
  </si>
  <si>
    <t>Mahatma Gandhi Santhan Moka, Morishish</t>
  </si>
  <si>
    <t>Parivatnacha Vatsaru UGC Care Listed Jounral</t>
  </si>
  <si>
    <t>2250-3145</t>
  </si>
  <si>
    <t>san Abhay Kanta, Pune</t>
  </si>
  <si>
    <t>Hamare Samay me Muktibodh</t>
  </si>
  <si>
    <t>978-93-88-684-19-4</t>
  </si>
  <si>
    <t>21 sadhi ka Hindi Upanyas Sahitya</t>
  </si>
  <si>
    <t>978-81-938809-5-1</t>
  </si>
  <si>
    <t>Sawraj prakashan New Delhi</t>
  </si>
  <si>
    <t>Sancharika</t>
  </si>
  <si>
    <t>san. Dr. Narayan Vakale, Aurangabad</t>
  </si>
  <si>
    <t>san Dr. Narayan Vakale, Aurangabad</t>
  </si>
  <si>
    <t>kyu Tera rah gujar yad aaya</t>
  </si>
  <si>
    <t>978-93-389-01-2</t>
  </si>
  <si>
    <t>Hans Prakashan New Delhi</t>
  </si>
  <si>
    <t>Mr. SUDHAKAR RAMBHAU SHENDGE</t>
  </si>
  <si>
    <t>Dalit Asmita</t>
  </si>
  <si>
    <t>2278-8077</t>
  </si>
  <si>
    <t>Dr. SANJAY MANIKRAO NAWALE</t>
  </si>
  <si>
    <t>Shodh Sankruti</t>
  </si>
  <si>
    <t>Bhasha tatha Sahitya Aanuwad ka Samajik daitav</t>
  </si>
  <si>
    <t>swaraj Prakashan New Delhi</t>
  </si>
  <si>
    <t>Pratra Sanwad</t>
  </si>
  <si>
    <t>Hindi Bhasha Aur Sahitya nai sadi me</t>
  </si>
  <si>
    <t>978-81-8111-287-3</t>
  </si>
  <si>
    <t>Javahar Pusthkalaya Mathura</t>
  </si>
  <si>
    <t>Gandhi aur hindi Srujan - Sandharbh</t>
  </si>
  <si>
    <t>978-93-88359-70-2</t>
  </si>
  <si>
    <t>sastha Prakastion New Delhi</t>
  </si>
  <si>
    <t>Hindi ka Kathetar Gadya Parmpra Prayog Aur Sanmbhvnay</t>
  </si>
  <si>
    <t>978-93-89563-38-2</t>
  </si>
  <si>
    <t>Vishavbharati Pratrika</t>
  </si>
  <si>
    <t>2348-4977</t>
  </si>
  <si>
    <t>san Mukteshwar Nath Tiwari</t>
  </si>
  <si>
    <t>Sakhi</t>
  </si>
  <si>
    <t>2231-5187</t>
  </si>
  <si>
    <t>San Sadanand Shahi Varanasi</t>
  </si>
  <si>
    <t>Maharahtra Hindi Prachar sabha Aurangabad</t>
  </si>
  <si>
    <t>Anusandhan ki Navi Dishaay</t>
  </si>
  <si>
    <t>978-93-80760-81-0</t>
  </si>
  <si>
    <t>Sant Tukaram ki Hindi Padavali</t>
  </si>
  <si>
    <t>978-93-80760-72-8</t>
  </si>
  <si>
    <t>A.R. Publication Campany Delhi</t>
  </si>
  <si>
    <t>Sant Sahitya drushti aur darshan</t>
  </si>
  <si>
    <t>978-93-88130-37-0</t>
  </si>
  <si>
    <t>Sanjiv ke katha sahitya me shri purush sanbandh</t>
  </si>
  <si>
    <t>978-81-942779-2-7</t>
  </si>
  <si>
    <t>Sankalpa Prakashan Kanupur</t>
  </si>
  <si>
    <t>Anusandhan ki Naidishaya</t>
  </si>
  <si>
    <t>978-9380760-81-0</t>
  </si>
  <si>
    <t>Hindi bhasha ki parmpra prayog aur sanbhainaya</t>
  </si>
  <si>
    <t>Jivani lekhan parmpra Aur chhunotiya</t>
  </si>
  <si>
    <t>978-93-89563-39-9</t>
  </si>
  <si>
    <t>san Mukteshwar Nath Tiwari, Santi Niketan Kolkta</t>
  </si>
  <si>
    <t>2277-7083</t>
  </si>
  <si>
    <t>Krushna Sobati se Krushna sobati tak</t>
  </si>
  <si>
    <t>978-938401-2-18-1</t>
  </si>
  <si>
    <t>san. A. Arvindashan Pratishruti Prakashan Kolkata</t>
  </si>
  <si>
    <t>Pustak Bharati</t>
  </si>
  <si>
    <t>2562-6086</t>
  </si>
  <si>
    <t>Samanvay Dashin</t>
  </si>
  <si>
    <t>2456-9445</t>
  </si>
  <si>
    <t>UGC care liested</t>
  </si>
  <si>
    <t>Ek Mutti Urja</t>
  </si>
  <si>
    <t>978-93-84899-00-4</t>
  </si>
  <si>
    <t>Vishav Hindi Sahitya Parishad Delhi Bharat</t>
  </si>
  <si>
    <t>Aapatkalottar Hindi Nukkd Natak</t>
  </si>
  <si>
    <t>978-81-944964-4-1</t>
  </si>
  <si>
    <t>Aadhunik kavya</t>
  </si>
  <si>
    <t>978-93-92982-21-7</t>
  </si>
  <si>
    <t>Registrar, YCMU</t>
  </si>
  <si>
    <t>BODHI INTRERNATIONAL</t>
  </si>
  <si>
    <t>2456-5571</t>
  </si>
  <si>
    <t>ugc journals</t>
  </si>
  <si>
    <t>Aadhunik kavya-2</t>
  </si>
  <si>
    <t>pustak Bharati</t>
  </si>
  <si>
    <t>Jan Aakruti</t>
  </si>
  <si>
    <t>aakhar HIndi pratrika</t>
  </si>
  <si>
    <t>2583-0597</t>
  </si>
  <si>
    <t>online E journal</t>
  </si>
  <si>
    <t>Lokgita ka Shripash</t>
  </si>
  <si>
    <t>978-81-19141-11-1</t>
  </si>
  <si>
    <t>Anayna Pakashan New Delhi</t>
  </si>
  <si>
    <t>Cinema Aur Samaj</t>
  </si>
  <si>
    <t>978-93-92998</t>
  </si>
  <si>
    <t>Nai Kitab Prakashan New Delhi</t>
  </si>
  <si>
    <t>Sahitya Aur cinema</t>
  </si>
  <si>
    <t>978-93-92998-30-0</t>
  </si>
  <si>
    <t>Sugam Kavy Shashtra</t>
  </si>
  <si>
    <t>978-93-92998-27-0</t>
  </si>
  <si>
    <t>yug- yug se tuhi</t>
  </si>
  <si>
    <t>Bharatiya Sahitya -3</t>
  </si>
  <si>
    <t>978-81-19453-33-7</t>
  </si>
  <si>
    <t>Shokh Disha</t>
  </si>
  <si>
    <t>0975-735X</t>
  </si>
  <si>
    <t>Sahitya Vihar Uattar Pradesh</t>
  </si>
  <si>
    <t>Vichar</t>
  </si>
  <si>
    <t>0974-4118</t>
  </si>
  <si>
    <t>Aazadi ka Amrut Mahsu</t>
  </si>
  <si>
    <t>Dr. UMESH RAMKRISHNA BAGADE</t>
  </si>
  <si>
    <t>Jotiba Phule</t>
  </si>
  <si>
    <t>https://egyankosh.ac.in/bitstream/123456789/48764/1/Block-2.pdf</t>
  </si>
  <si>
    <t>Indira Gandhi National Open University</t>
  </si>
  <si>
    <t>Dr. BINA KUMARI SENGAR</t>
  </si>
  <si>
    <t>Nidan</t>
  </si>
  <si>
    <t>2414-8636</t>
  </si>
  <si>
    <t>Published at the University of KwaZulu-Natal, Durban, South Africa</t>
  </si>
  <si>
    <t>Creating spaces for indigeneity from Nizam’s Hyderabad state to Maharashtra</t>
  </si>
  <si>
    <t>978-100069125-2</t>
  </si>
  <si>
    <t>Aitihasik va Sanskritik Khuldabad,</t>
  </si>
  <si>
    <t>ISBN: 978-81-945057-1-6</t>
  </si>
  <si>
    <t>Chinmay Prakashan</t>
  </si>
  <si>
    <t>Dr. PUSHPA MAHADEV GAIKWAD</t>
  </si>
  <si>
    <t>BHARTIYANCHE SHAKSHAMIKARAN</t>
  </si>
  <si>
    <t>2251-5492</t>
  </si>
  <si>
    <t>RAMANSHIL PRAKASHAN</t>
  </si>
  <si>
    <t>INDIGENOUS SOCIETIES IN THE POST COLONIAL WORLD</t>
  </si>
  <si>
    <t>SPRINGER 2023</t>
  </si>
  <si>
    <t>Dr. VAISHALI SOVIND KHAPARDE</t>
  </si>
  <si>
    <t>Future of Libraries in Digital Age</t>
  </si>
  <si>
    <t>81-907999-2-8</t>
  </si>
  <si>
    <t>KBD Publication</t>
  </si>
  <si>
    <t>Dr. SHASHANK SONAJI SONWANE</t>
  </si>
  <si>
    <t>Library and Information Science Research: Perspectives and Strategies.</t>
  </si>
  <si>
    <t>978-93-5222-019-9</t>
  </si>
  <si>
    <t>Regency Publications, Astral, Delhi</t>
  </si>
  <si>
    <t>-Library and Information Science Research: Perspectives and Strategies</t>
  </si>
  <si>
    <t>Advance in Library Service in Modern Era</t>
  </si>
  <si>
    <t>978-81-945395-2-0</t>
  </si>
  <si>
    <t>Current publicationsA-15 Kalakunj, Maruti estate Road, Agra 282010</t>
  </si>
  <si>
    <t>Advance in Library Services in the Modern Era</t>
  </si>
  <si>
    <t>Advance in Library Services in the Digital World</t>
  </si>
  <si>
    <t>978-81-945395-3-7</t>
  </si>
  <si>
    <t>Advances in Library Science in the Digital World</t>
  </si>
  <si>
    <t>Current Publications, Agra</t>
  </si>
  <si>
    <t>Advances in Library Services in the Modern Era</t>
  </si>
  <si>
    <t>Modern Trends in LIS Studies</t>
  </si>
  <si>
    <t>978-93-91542-00-9</t>
  </si>
  <si>
    <t>The Future of Agriculture Librarianship: Challenges and Opportunities</t>
  </si>
  <si>
    <t>Today and Tommorrow printers and Publishers 4436/7,Ansari Road, Daryaganj, New Delhi,-110002</t>
  </si>
  <si>
    <t>Intellectual Property Right- Role of Libraries &amp; Librarianship</t>
  </si>
  <si>
    <t>978-93-93496-56-0</t>
  </si>
  <si>
    <t>Intellectual Property Rights- Role of Libraries and Librarianship</t>
  </si>
  <si>
    <t>Future of Agricultural Librarianship: Challenges and Opportunities</t>
  </si>
  <si>
    <t>Today &amp; Tommorrows Printers &amp; Publishers, New Delhi</t>
  </si>
  <si>
    <t>Librarianship Social Networking</t>
  </si>
  <si>
    <t>978-93-91542-78-8</t>
  </si>
  <si>
    <t>Libraries: from clay tablet to Fablet</t>
  </si>
  <si>
    <t>978-93-93405-07-4</t>
  </si>
  <si>
    <t>Agri Biovet Press 2/40,1st floor Ansari Road Daryaganj, New Delhi -110002</t>
  </si>
  <si>
    <t>Future of Agriculture Librarianship: Challenges and Opportunities</t>
  </si>
  <si>
    <t>Libraries from Clay Tablet to FABLET</t>
  </si>
  <si>
    <t>978-93-9340-07-4</t>
  </si>
  <si>
    <t>Agri- Biovet Press, New Delhi</t>
  </si>
  <si>
    <t>Dr. Walmik kachru sarwade</t>
  </si>
  <si>
    <t>Delhi Mumbai Industrial Corridor: Opportunities &amp; Challenges</t>
  </si>
  <si>
    <t>978-93-83342-62-4</t>
  </si>
  <si>
    <t>Universal Publication House, New Delhi</t>
  </si>
  <si>
    <t>Dr. SONALI RAMESH KSHIRSAGAR</t>
  </si>
  <si>
    <t>Economic Reforms and Private Insurance Sector</t>
  </si>
  <si>
    <t>978-81-939352-3-1</t>
  </si>
  <si>
    <t>.Anishka Publishing House,Sonia Vihar New Delhi</t>
  </si>
  <si>
    <t>Dr. KRISHNAPRIYA POONAIAH ROLLA</t>
  </si>
  <si>
    <t>Handbook of Research on Inequities in Online Education During Global Crises</t>
  </si>
  <si>
    <t>Dr. Suyog A AMRUTRAO</t>
  </si>
  <si>
    <t>-Research Journey</t>
  </si>
  <si>
    <t>ISSN 23487143</t>
  </si>
  <si>
    <t>Swatidhan Publication, Yeola Nashik</t>
  </si>
  <si>
    <t>Mr. Vikram H SHINDE</t>
  </si>
  <si>
    <t>-Consumer Behaviour and Brand Preference</t>
  </si>
  <si>
    <t>Satyam Publisher and Distributer- Jaipur</t>
  </si>
  <si>
    <t>-Investment Management of Salaried Employees</t>
  </si>
  <si>
    <t>Merger and Acquisition in wireless telecom industry in India: a study of customer and market effects</t>
  </si>
  <si>
    <t>978-93-94727-74-8</t>
  </si>
  <si>
    <t>RED’SHINE publication Pvt. LTD, Lunawada, INDIA</t>
  </si>
  <si>
    <t>-Building a Future of Flexibility and Freedom: Examining the Gig Economys Role in Atmanirbhar Bharats Youth Employment</t>
  </si>
  <si>
    <t>978-93-91214-77-7</t>
  </si>
  <si>
    <t>Shivalik Prakashan- New Delhi,</t>
  </si>
  <si>
    <t>Dr. DASOO HARIHARRAO VAIDYA</t>
  </si>
  <si>
    <t>MELA</t>
  </si>
  <si>
    <t>ISBN 978-81-7991-968-2</t>
  </si>
  <si>
    <t>PAPYULAR PRAKASHAN</t>
  </si>
  <si>
    <t>papular prakashan</t>
  </si>
  <si>
    <t>Pachola : pannas Varshanantarche Akalan</t>
  </si>
  <si>
    <t>ISSN 2320-4494</t>
  </si>
  <si>
    <t>POWER OF KNOWLEGE PEER REVIEW</t>
  </si>
  <si>
    <t>Narayan kulkarni Kavthekar yanche fa mazya gavtachya patya</t>
  </si>
  <si>
    <t>Dr. KAILAS MADHAVRAO AMBHURE</t>
  </si>
  <si>
    <t>Aswasth - Ekant : Habib Bhandare</t>
  </si>
  <si>
    <t>ashkar yatra</t>
  </si>
  <si>
    <t>10ve ambajogai sahitya sammelan - adhyashiya bhashan</t>
  </si>
  <si>
    <t>Dr. B.I. Khadakbhavi</t>
  </si>
  <si>
    <t>Pradnyasoorya - Ed Sunil Gavhane Amit Kute</t>
  </si>
  <si>
    <t>Sourav Prakashan, Aurangabad</t>
  </si>
  <si>
    <t>Lokshikshak - P. T. Wani Guruji - Ed. Vinod Sinkar</t>
  </si>
  <si>
    <t>Janshakti Wachak Chalval, Aurangabad</t>
  </si>
  <si>
    <t>Goda Prakashan Aurangabadd</t>
  </si>
  <si>
    <t>Ka - Kavitecha</t>
  </si>
  <si>
    <t>ISBN : 978-93-92962-47-9</t>
  </si>
  <si>
    <t>DR. DASOO VAIDYA</t>
  </si>
  <si>
    <t>GOLAMGOL</t>
  </si>
  <si>
    <t>ISBN : 978-93-92962-43-1</t>
  </si>
  <si>
    <t>Chashmevali</t>
  </si>
  <si>
    <t>ISBN : 978-93-92962-42-4</t>
  </si>
  <si>
    <t>ZUL ZUL ZARA</t>
  </si>
  <si>
    <t>ISBN : 978-93-92962-46-2</t>
  </si>
  <si>
    <t>Bharat Sasane yanchi Mulkhat</t>
  </si>
  <si>
    <t>ISBN : 978-81-959663-6-3</t>
  </si>
  <si>
    <t>Dr. KIRTIWANT PARASHURAM GHADLE</t>
  </si>
  <si>
    <t>Universal Mathematical Formulae</t>
  </si>
  <si>
    <t>ASIN:B097N4P33M</t>
  </si>
  <si>
    <t>Kindle</t>
  </si>
  <si>
    <t>Application of Assignment Problem Using MATLAB Programming</t>
  </si>
  <si>
    <t>978-81-955138-5-7</t>
  </si>
  <si>
    <t>Advent Publishing</t>
  </si>
  <si>
    <t>ADVENT PUBLISHING</t>
  </si>
  <si>
    <t>ASIN: B097N4P33M</t>
  </si>
  <si>
    <t>Dr. RAHUL MINESHWAR KHOBRAGADE</t>
  </si>
  <si>
    <t>International journal for Science and Advance research in technology</t>
  </si>
  <si>
    <t>2395-1052</t>
  </si>
  <si>
    <t>IJSART</t>
  </si>
  <si>
    <t>Dr. KALPANA BABURAO ZARIKAR</t>
  </si>
  <si>
    <t>Sports Psychology</t>
  </si>
  <si>
    <t>978-93-87556-61-4</t>
  </si>
  <si>
    <t>International Publication</t>
  </si>
  <si>
    <t>Research Process in Physical Education</t>
  </si>
  <si>
    <t>978-93-87556-62-1</t>
  </si>
  <si>
    <t>International Publication, Kanpur</t>
  </si>
  <si>
    <t>Dr. DR. MRS. PRAVINA PRAKASHRAO UGILE PAWAR</t>
  </si>
  <si>
    <t>Photon absorption parameters of lipids using gamma ray spectrometry</t>
  </si>
  <si>
    <t>RN:51098389</t>
  </si>
  <si>
    <t>Book</t>
  </si>
  <si>
    <t>Photon interaction cross section of C, H, N and O compounds at energy range 500 to 1500 KeV</t>
  </si>
  <si>
    <t>International Atomic Energy Agency (IAEA)</t>
  </si>
  <si>
    <t>Dr. Dr. MRS. ANITA GOPALKRISHNA MURUGKAR</t>
  </si>
  <si>
    <t>Study of thermo physical properties of binary liquid mixtures of trichloroethylene with 1-pentanol</t>
  </si>
  <si>
    <t>1551-7616</t>
  </si>
  <si>
    <t>AIP Publishing LLC</t>
  </si>
  <si>
    <t>Dr. Dr. KAMALAKAR MARUTIRAO JADHAV</t>
  </si>
  <si>
    <t>Investigations of structural, magnetic and induction heating properties of surface functionalized zinc ferrite nanoparticles for hyperthermia applications</t>
  </si>
  <si>
    <t>AIP Conference Proceedings</t>
  </si>
  <si>
    <t>Evaluation of thermal conductivity of the NiFe2O4 ferrofluids under influence of magnetic field-</t>
  </si>
  <si>
    <t>Synthesis of sodium silicate based aerogels by ambient pressure drying and their physical properties</t>
  </si>
  <si>
    <t>Dr. KHAJA SHUJAUDDIN SHAKIR</t>
  </si>
  <si>
    <t>Backwardness among Indian Muslims</t>
  </si>
  <si>
    <t>978-93-5002-399-0</t>
  </si>
  <si>
    <t>Aakar Books, New Delhi</t>
  </si>
  <si>
    <t>Dr. PRASHANT SHAMRAO AMRUTKAR</t>
  </si>
  <si>
    <t>‘????????: ???, ?? ??? ?????</t>
  </si>
  <si>
    <t>978-93-88544-17-7</t>
  </si>
  <si>
    <t>????? ?????????</t>
  </si>
  <si>
    <t>Political Socialization in Political Sociology</t>
  </si>
  <si>
    <t>978-93-87940-79-6</t>
  </si>
  <si>
    <t>Krishna kanta Handiqui State Open University, Guwahati, Aasam, India</t>
  </si>
  <si>
    <t>Dr. JYOTI SHUBHSH DHAYAGUDE</t>
  </si>
  <si>
    <t>Identity Crisis of Public Administration: Then and Now</t>
  </si>
  <si>
    <t>ISBN978-81-941970-9-6</t>
  </si>
  <si>
    <t>Education Publishers and Distributors</t>
  </si>
  <si>
    <t>Mahila Netrutvacha Uday ani Vikas</t>
  </si>
  <si>
    <t>ISBN978-81-945057-5-4</t>
  </si>
  <si>
    <t>Chinmay Prakashan Aurangabad</t>
  </si>
  <si>
    <t>Mahatma Phule and Dr B.R.Ambedkar: A Multidimensional Approach</t>
  </si>
  <si>
    <t>978-81-947729-2-7</t>
  </si>
  <si>
    <t>Trisha Publication</t>
  </si>
  <si>
    <t>Improving Inclusivity in Higher Education</t>
  </si>
  <si>
    <t>ISBN978-981-99-5075-1</t>
  </si>
  <si>
    <t>Springer Nature</t>
  </si>
  <si>
    <t>Dr. Kranti sharad vyawahare</t>
  </si>
  <si>
    <t>1} Kavi v Kavy, 2} Rajdharm</t>
  </si>
  <si>
    <t>978-93-92204-18-0</t>
  </si>
  <si>
    <t>Vidya Books , Aurangabad</t>
  </si>
  <si>
    <t>Dr. laxman hilalsing salok</t>
  </si>
  <si>
    <t>Mahatma Phule : Chintan ani Charcha</t>
  </si>
  <si>
    <t>978-93-81948-76-7</t>
  </si>
  <si>
    <t>Chinmay Prakashak Aurangabad</t>
  </si>
  <si>
    <t>Dr. PADMAKAR NAGAJI SAHARE</t>
  </si>
  <si>
    <t>Stridasya Mukticha Mahanayak</t>
  </si>
  <si>
    <t>978-93-90903-00-9</t>
  </si>
  <si>
    <t>HSRA Publications, Bangalore</t>
  </si>
  <si>
    <t>Dr. ASHOK YESHWANTRAO TAYADE</t>
  </si>
  <si>
    <t>A STATISTICAL MEASURE OF PARAMETERSFOR WRITING STYLE OF PANDIT JAWAHARLAL NEHRU</t>
  </si>
  <si>
    <t>ISBN:978-1-71683-228-4</t>
  </si>
  <si>
    <t>Statperson Publishing Corporation</t>
  </si>
  <si>
    <t>Dr. SUNIL VISHWANATHRAO KAWALE</t>
  </si>
  <si>
    <t>introduction to Stochastic processes</t>
  </si>
  <si>
    <t>978-993336259-1</t>
  </si>
  <si>
    <t>darfikr</t>
  </si>
  <si>
    <t>Dr. MADHURI TRIMBAKRAO SAWANT</t>
  </si>
  <si>
    <t>-Tourism Marketing Segmentation</t>
  </si>
  <si>
    <t>Indira Gandhi Natioanal Open University New Delhi.</t>
  </si>
  <si>
    <t>Tourism Marketing</t>
  </si>
  <si>
    <t>ISBN 9789355680259</t>
  </si>
  <si>
    <t>Profile of Modern Tourism</t>
  </si>
  <si>
    <t>ISBN 9789391229849</t>
  </si>
  <si>
    <t>Dr. KIRTIMALINI VITHALRAO JAWALE</t>
  </si>
  <si>
    <t>URDU SAHAFAT</t>
  </si>
  <si>
    <t>ISBN 9789389150254</t>
  </si>
  <si>
    <t>SWAMI RAMANADA TEERTH NANDED</t>
  </si>
  <si>
    <t>URDU ZABAN</t>
  </si>
  <si>
    <t>issn 23198648</t>
  </si>
  <si>
    <t>Current Global Reviewer</t>
  </si>
  <si>
    <t>Adab Mein Akhlakhyat Aur Insani Aqdar</t>
  </si>
  <si>
    <t>978-93-95104-11-1</t>
  </si>
  <si>
    <t>Parikalpna</t>
  </si>
  <si>
    <t>Dr. SUNITA NAMDEO BORDE</t>
  </si>
  <si>
    <t>Special issue on NSMPPBS-2020</t>
  </si>
  <si>
    <t>2249-894X</t>
  </si>
  <si>
    <t>Dr. REYMEND ENCILY MARTIN</t>
  </si>
  <si>
    <t>Applied Biotechnology I.</t>
  </si>
  <si>
    <t>978-93-90646-07-4</t>
  </si>
  <si>
    <t>Vision Publication</t>
  </si>
  <si>
    <t>Ms. ashwini himmatrao more</t>
  </si>
  <si>
    <t>Dalit Women and Civil Rights with special reference to slums in Aurangabad.</t>
  </si>
  <si>
    <t>Advanced Centre for Women’s Studies, Tata Institute of Social Sciences, Mumbai.</t>
  </si>
  <si>
    <t>Stri Abhyas Charchavishwa Ek Aaklan</t>
  </si>
  <si>
    <t>TARABAI SHINDE WOMEN STUDY CENTER</t>
  </si>
  <si>
    <t>Lingabhav Charchavishwa</t>
  </si>
  <si>
    <t>Dr. GULAB DATTARAO KHEDKAR</t>
  </si>
  <si>
    <t>ADVANCES IN DNA BARCODING &amp; MOLECULAR TAXONOMY (Training Manual)</t>
  </si>
  <si>
    <t>978-81-954804-0-1</t>
  </si>
  <si>
    <t>Directorate of Public Relations and Publications,Kochi 682022</t>
  </si>
  <si>
    <t>Dr. KUNAL PRASANTA DATTA</t>
  </si>
  <si>
    <t>Functionalized Carbon Nanotubes for Detection of Volatile Organic Pollutant</t>
  </si>
  <si>
    <t>ISSN: 2278-7844</t>
  </si>
  <si>
    <t>INTECH OPEN</t>
  </si>
  <si>
    <t>Dr. MaHENDRA DaSHARATH SHIRSAT</t>
  </si>
  <si>
    <t>ISBN: 978-953-307-054-4</t>
  </si>
  <si>
    <t>Comparative VOCs sensing performance for conducting polymer and porphyrin functionalized carbon nanotubes based sensors</t>
  </si>
  <si>
    <t>ISBN: 9780735416482</t>
  </si>
  <si>
    <t>American Institute of Physics</t>
  </si>
  <si>
    <t>ISBN: 978-0-7354-1648-2</t>
  </si>
  <si>
    <t>Glassy carbon electrode modified with polyanilne/ethylenediamine for detection of copper ions</t>
  </si>
  <si>
    <t>Spectroscopic investigations upon 100MeV oxygen ions irradiation on polyaniline and poly-o-toluidine</t>
  </si>
  <si>
    <t>SBN: 978-0-7354-1648-2</t>
  </si>
  <si>
    <t>Copolymers of polyaniline and poly-o-toluidine: Electrochemical synthesis and characterization</t>
  </si>
  <si>
    <t>978-1-78984</t>
  </si>
  <si>
    <t>Intech Open</t>
  </si>
  <si>
    <t>Introductory Chapter: Introduction to Carbon Nanotubes- Redefining the World of Electronics</t>
  </si>
  <si>
    <t>DOI: 10.5772/intechopen.99112</t>
  </si>
  <si>
    <t>Carbon Nanotubes - Redefining the World of Electronics</t>
  </si>
  <si>
    <t>978-1-83881-185-3</t>
  </si>
  <si>
    <t>-INDUSTRIAL APPLICATIONS OF POLYMER COMPOSITES</t>
  </si>
  <si>
    <t>2972-4929</t>
  </si>
  <si>
    <t>BENTHAM BOOKS SARJAH UAE</t>
  </si>
  <si>
    <t>Dr. YUSUF HAZARAT BENNUR</t>
  </si>
  <si>
    <t>Generalist Social Work</t>
  </si>
  <si>
    <t>978-81-89065-59-1</t>
  </si>
  <si>
    <t>Current Publications ,Agra</t>
  </si>
  <si>
    <t>Horizones of Corporate Social Responsibility</t>
  </si>
  <si>
    <t>Current Publication Agra</t>
  </si>
  <si>
    <t>Mr. RAMESH NANJI GAVIT</t>
  </si>
  <si>
    <t>The Tribal Development Approaches and Contemporary Policies</t>
  </si>
  <si>
    <t>Current Publications</t>
  </si>
  <si>
    <t>-N.N. Bandela, P.N. Puniya, Geetanjali Kaushik, Onkar Jogdand and Arvind Chel</t>
  </si>
  <si>
    <t>ISBN 978-3-319-58538-3</t>
  </si>
  <si>
    <t>Springer International Publishing AG 2018</t>
  </si>
  <si>
    <t>N. N. Bandela, P. N. Puniya, and Geetanjali Kaushik</t>
  </si>
  <si>
    <t>https://doi.org/10.1007/978-3-319-58538-3_146-1</t>
  </si>
  <si>
    <t>https://link.springer.com/referenceworkentry/10.1007/978-3-319-58538-3_146-1</t>
  </si>
  <si>
    <t>Geetanjali Kaushik, Shivani Chaturedi, Satish Patil, Arvind Chel</t>
  </si>
  <si>
    <t>978-93-85046-22-3</t>
  </si>
  <si>
    <t>Studium Press (India)Pvt. Ltd</t>
  </si>
  <si>
    <t>Geetanjali Kaushik, Arvind Chel, Satish Patil and Shivani Chaturvedi</t>
  </si>
  <si>
    <t>https://doi.org/10.1007/978-3-319-58538-3_78-1</t>
  </si>
  <si>
    <t>Geetanjali Kaushik, satish Patil and Arvind chel</t>
  </si>
  <si>
    <t>https://doi.org/10.1007/978-3-319-58538-3_156-1</t>
  </si>
  <si>
    <t>Dr. KANNULAL ASARAM VITORE</t>
  </si>
  <si>
    <t>Talashta sach</t>
  </si>
  <si>
    <t>978-93--85673-03-0</t>
  </si>
  <si>
    <t>Nisha Publication, Kanpur</t>
  </si>
  <si>
    <t>Dynamics of Agricultural Information Management</t>
  </si>
  <si>
    <t>ISBN : 978-93-5124-878-1</t>
  </si>
  <si>
    <t>Daya Publishing House A Division of Astral International Pvt.Ltd New Delhi</t>
  </si>
  <si>
    <t>978-93-5222-019-9.</t>
  </si>
  <si>
    <t>Regency Publications</t>
  </si>
  <si>
    <t>https://www.amazon.in/Library-Information-Science-Research-Perspectives/dp/9352220196</t>
  </si>
  <si>
    <t>Regency Publications.</t>
  </si>
  <si>
    <t>Dr. ANAND MADHAVRAO WAGH</t>
  </si>
  <si>
    <t>Extension Education in India &amp; Abroad</t>
  </si>
  <si>
    <t>978-93-83342-39-6</t>
  </si>
  <si>
    <t>Universal Publication</t>
  </si>
  <si>
    <t>DEEPARTH</t>
  </si>
  <si>
    <t>978-93-87628-03-8</t>
  </si>
  <si>
    <t>SENAHVARDHAN PRAKASHAN</t>
  </si>
  <si>
    <t>Dr. SHUBHANGI SUDHIR GAVHANE</t>
  </si>
  <si>
    <t>Social Problems Related to Family ( Full Book - In Print)</t>
  </si>
  <si>
    <t>ISBN</t>
  </si>
  <si>
    <t>Yashwantrao Chavhan Open University, Nashik</t>
  </si>
  <si>
    <t>Social Problems Related to Structure ( Editor - In Print )</t>
  </si>
  <si>
    <t>Vightnatmak Samajik Prashn ( Editor -In Print)</t>
  </si>
  <si>
    <t>Dr. DHARMARAJ KALYANRAO VEER</t>
  </si>
  <si>
    <t>Advancement and Challenges for College Libraries in IT Era</t>
  </si>
  <si>
    <t>978-93-85883-10-1</t>
  </si>
  <si>
    <t>Studera Press, Delhi</t>
  </si>
  <si>
    <t>https://www.neliti.com/publications/321959/dharmaraj-k-veer-and-shivaji-sontakke-advancement-and-challenges-for-college-lib</t>
  </si>
  <si>
    <t>-C.M. Hussain (ed.), Handbook of Material Management (Online Book)- Chapter 1 Biotechnological Appro</t>
  </si>
  <si>
    <t>Biotechnological Approach for Mitigation Studies of Effluents of Automobile Industries</t>
  </si>
  <si>
    <t>Biofuels Advances and Prespectives</t>
  </si>
  <si>
    <t>Status of Particulate Matter Pollution in India:A Review</t>
  </si>
  <si>
    <t>Air Quality Status and Management in Tier II and III Indian Cites: A Case Study of Aurangabad City,</t>
  </si>
  <si>
    <t>Dr. ANJALI SUDAMRAO RAJBHOJ</t>
  </si>
  <si>
    <t>Nickel Nanoparticles Modified Gold Electrode as Electrochemical Dopamine Sensor</t>
  </si>
  <si>
    <t>?2319-6602</t>
  </si>
  <si>
    <t>RICES - Jan 2018</t>
  </si>
  <si>
    <t>Synthesis of Iron Oxide Nanostructures by Electrochemical Reduction Method and Their Antifungal Appl</t>
  </si>
  <si>
    <t>?: ?2319-6602</t>
  </si>
  <si>
    <t>Pattern Recognition Pattern Recognition based approach for Real time recognition of Human</t>
  </si>
  <si>
    <t>ISSN:0970-657X</t>
  </si>
  <si>
    <t>CSI Communication,</t>
  </si>
  <si>
    <t>Dr. SHOBHANA VISHWANATH JOSHI</t>
  </si>
  <si>
    <t>Assessment Reforms to Enhance Learning outcomes: A quest for Constructive alignment of the Curriculu</t>
  </si>
  <si>
    <t>International Interdisciplinary conference</t>
  </si>
  <si>
    <t>Expected roles and traits\characteristic of the university teachers in the light of the challenges o</t>
  </si>
  <si>
    <t>Dr. UJWALA PRABHAKAR BHADANGE</t>
  </si>
  <si>
    <t>nashikjilyatilshaskiyaaadivashiaashramshaletilmadhyamikstaravarilvidhyarthyanadenyatyenaryashanachya</t>
  </si>
  <si>
    <t>ISSN-2278-8158</t>
  </si>
  <si>
    <t>Dept. of Education, Shivaji University, Kolahapur</t>
  </si>
  <si>
    <t>A Study of Teacher Effectiveness in Arts Degree college lecturers of Aurangabad District.</t>
  </si>
  <si>
    <t>ISSN NO 2231-4687</t>
  </si>
  <si>
    <t>Chetan Publications, Aurangabad</t>
  </si>
  <si>
    <t>A Study of Teacher Effectiveness in Commerce Degree college lecturers of Aurangabad District.</t>
  </si>
  <si>
    <t>Academic achievement in relation to spiritual intelligence of B.Sc students in Aurangabad</t>
  </si>
  <si>
    <t>ISSN 2275-0807</t>
  </si>
  <si>
    <t>Shodhani,Aurangabad</t>
  </si>
  <si>
    <t>A study of Self Actualization in Sci,Commerce, Art's Degree College Lecturers of Aurangabad District</t>
  </si>
  <si>
    <t>Review of Current Status of E-learning in India</t>
  </si>
  <si>
    <t>ISSN 2231-4687</t>
  </si>
  <si>
    <t>Dr.BabasahebAmbedkarMarathwada University, Aurangabad</t>
  </si>
  <si>
    <t>Development of Emotional Intelligence – A Literature Review</t>
  </si>
  <si>
    <t>Dr. SHIRISH AMBEKAR</t>
  </si>
  <si>
    <t>-study of Painted curtains in the theatrical space (selected Marathi plays)</t>
  </si>
  <si>
    <t>publication in Process</t>
  </si>
  <si>
    <t>Ajanta Prakashan, Aurangabad</t>
  </si>
  <si>
    <t>CONTINUING PROFESSIONAL DEVELOPMENT FOR LIBRARY PROFESSIONALS: AN OVERVIEW</t>
  </si>
  <si>
    <t>ISSN 2319-9318</t>
  </si>
  <si>
    <t>Shri Sant Savata Mali Gramin Mahavidyalaya Phulambri</t>
  </si>
  <si>
    <t>Implementation Of Digital Library In India Opportunities And Challenges</t>
  </si>
  <si>
    <t>Initiatives Of Digital Libraries In India: An Overview</t>
  </si>
  <si>
    <t>Open Source Software For Libraries: An Overview</t>
  </si>
  <si>
    <t>Open Source Software: An Overview</t>
  </si>
  <si>
    <t>Role Of Libraries In Research</t>
  </si>
  <si>
    <t>Role Of Social Media In University Libraries</t>
  </si>
  <si>
    <t>Web Based Library Services And The Role Of Librarian</t>
  </si>
  <si>
    <t>The Semantic Web and Linked Data : An Overview</t>
  </si>
  <si>
    <t>LIS Education in India: An Overview.</t>
  </si>
  <si>
    <t>Quantitative Research in Library and Information Science: A Study</t>
  </si>
  <si>
    <t>Qualitative Research in LIS: An Overview.</t>
  </si>
  <si>
    <t>hunda pratha ani hundabali</t>
  </si>
  <si>
    <t>Mr. SADIk NAZIR BAGWAN</t>
  </si>
  <si>
    <t>-Indian Agriculture and Changing Role of women</t>
  </si>
  <si>
    <t>2454-5503</t>
  </si>
  <si>
    <t>Centre for Humanities and Cultural Studies, Kalyan</t>
  </si>
  <si>
    <t>-Propagation and Cultivation of endemic plant - Iris laevigata</t>
  </si>
  <si>
    <t>NIL</t>
  </si>
  <si>
    <t>-NA</t>
  </si>
  <si>
    <t>-a. Morphometric study of Cassia sp. from Maharashtra b. Ia. Morphometric study of Cassia sp. from Maharashtra b. In-vitro propagation of Ceropegia bulbosa var. bubosan-vitro propagation of Ceropegia bulbosa var. bubosa</t>
  </si>
  <si>
    <t>-Poly Herbal Combination to treat Covid -19 caused by SARS-Co-V2”</t>
  </si>
  <si>
    <t>-Organic farming of Asparagus racemosus Willd</t>
  </si>
  <si>
    <t>-Studies on efficacy of some herbs against Covid – 19</t>
  </si>
  <si>
    <t>-Worked as Organizing Secretary</t>
  </si>
  <si>
    <t>-Immunity booster &amp; Anti-Covid-19 herbs</t>
  </si>
  <si>
    <t>-Worked as Organizing Secretary and delivered talk on M. Sc. Syllabus in NEP 2020</t>
  </si>
  <si>
    <t>-Delivered Invited talk on B. Sc. Syllabus in NEP 2020</t>
  </si>
  <si>
    <t>-Scientific Writing: Research Paper</t>
  </si>
  <si>
    <t>-Education in Mother tongue</t>
  </si>
  <si>
    <t>-Research in the Life Sciences with Special Emphasis on Medicinal Plants” and Workshop on “Ashwagandha and other Immunity boosting Plants</t>
  </si>
  <si>
    <t>-Supercapacitors based on two-dimensional metal oxides, hydroxides, and its graphene-based hybrids, in Book-Fundamentals and Supercapacitor Applications of 2D Materials,</t>
  </si>
  <si>
    <t>CZTS Nanocrystals: New Scientific Strategies and Electrocatalytic Water Splitting Reactions</t>
  </si>
  <si>
    <t>Synthesis, Characterization, and Biological Evaluation of Substituted 2-Phenoxynicotinaldehydes as alpha-Amylase Inhibitor</t>
  </si>
  <si>
    <t>Novel Triazole Derivatives: Synthesis, Evaluation as Potential Antimicrobial and beta-Lactamase Enzyme Inhibition Activity</t>
  </si>
  <si>
    <t>Metal oxide composites in organic transformations</t>
  </si>
  <si>
    <t>Design and synthesis of New Triazoles hybrids possessing antittubercular and antimicrobial activities</t>
  </si>
  <si>
    <t>A Socio- Economy Study of Jaggery Industries in the development of agricultureal Sector in marathwada Region , speciacl Reference to Osmanabad District</t>
  </si>
  <si>
    <t>ISBN:978-93-83741-29-8</t>
  </si>
  <si>
    <t>Mirza world Book House</t>
  </si>
  <si>
    <t>Effectivess of Strstegic Role of HR in Adding Value to Stakeholders in Global Business Context</t>
  </si>
  <si>
    <t>Sustainable Development: The Importance and Effect On Human Life</t>
  </si>
  <si>
    <t>Awerness of Farmers Towards Agricultural Crop Insurance Schemes in Washim District</t>
  </si>
  <si>
    <t>A Study on Major Problems With Economic Development in India</t>
  </si>
  <si>
    <t>Role of E-Government in Women Empowerment in Gulf Countries</t>
  </si>
  <si>
    <t>Preception of chief executive officers on promoting safety, health and envirnment through corporate social resposibility</t>
  </si>
  <si>
    <t>Salesforce.com Banking CRM: A Cloud Based Digital Innovation for Banking Industry</t>
  </si>
  <si>
    <t>Advaced CRM Techniques in Banking Industry</t>
  </si>
  <si>
    <t>Empowerment of Poor People througth Self Help Groups: and Assessment of Progress</t>
  </si>
  <si>
    <t>ISBN: 978-93-83741-39-7</t>
  </si>
  <si>
    <t>Cloud Accounting the New Era of Accounting System: Leterature review</t>
  </si>
  <si>
    <t>A Social- Economical Development of Jaggery Producers in Marathwada Region, speciacl Reference to Osmanabad District</t>
  </si>
  <si>
    <t>Sericulture Industry in Maharashtra State: an Overview</t>
  </si>
  <si>
    <t>Early Childhood Care and Education in India: Importance, Need and Challenges</t>
  </si>
  <si>
    <t>A study on Attitude of Farmers towads Crop Insurance in Washim District</t>
  </si>
  <si>
    <t>Rural Entrepreneurship in India: Challeges and Problems</t>
  </si>
  <si>
    <t>Cultural Factors Influencing Adoption of E-Government Services in Yemen</t>
  </si>
  <si>
    <t>Sales Force CRM: An Opportunity for the Growth of Banking Sector</t>
  </si>
  <si>
    <t>Digitization of SHGs: Problems &amp; Prospects: a Study</t>
  </si>
  <si>
    <t>Sustainable Development-A Case Study on Tata Chemicals Limited</t>
  </si>
  <si>
    <t>Women Participation in community Development Programmes: Implicatin on Sustainable Development</t>
  </si>
  <si>
    <t>District Planning for Tapping Development Potential</t>
  </si>
  <si>
    <t>ISBN: 978-93-90005-29-1</t>
  </si>
  <si>
    <t>The Role of Sericulture Industry in Employement Generation: In Maharashtra State</t>
  </si>
  <si>
    <t>Investigating the Relationship Between Service Quality and Customer Loyality through berrter banking experince in Fedrel Bank ltd.</t>
  </si>
  <si>
    <t>Women Development through selected schems implementation by the Government of Maharashtra</t>
  </si>
  <si>
    <t>Sentiment Analysis on Product Reviews Using Machine Learning Techniques</t>
  </si>
  <si>
    <t>http://dx.doi.org/10.1007/978-981-13-0617-4_61</t>
  </si>
  <si>
    <t>https://ieeexplore.ieee.org/document/8723913</t>
  </si>
  <si>
    <t>Document Level Sentiment Analysis from News Articles</t>
  </si>
  <si>
    <t>https://ieeexplore.ieee.org/document/8463638</t>
  </si>
  <si>
    <t>Classification of Plants Using GIST and LBP Score Level Fusion</t>
  </si>
  <si>
    <t>978-981-13-5757-2</t>
  </si>
  <si>
    <t>Palmprint Identification and Verification System Based on Euclidean Distance and 2 D Locality Preserving Projection Method</t>
  </si>
  <si>
    <t>978-981-10-8638-0</t>
  </si>
  <si>
    <t>Analysis of Image Inconsistency Based on Discrete Cosine Transform (DCT)</t>
  </si>
  <si>
    <t>978-981-13-1741-5</t>
  </si>
  <si>
    <t>IPhone And Android Mobile App For Detecting The Diabetic Retinopathy</t>
  </si>
  <si>
    <t>Soil spectral analysis for influence of fertilizers on soil quality using Spectroradiometer: A Review</t>
  </si>
  <si>
    <t>Estimation of Soil Macronutrients From Spectral Signatures Using Hyperspectral Non-Imaging Data</t>
  </si>
  <si>
    <t>Acquisition of Soil Spectral Signatures and Creation of Database for Vaijapur Taluka Using Spectroradiometer 4</t>
  </si>
  <si>
    <t>Role of Lens Position and Illumination Source for Acquiring Non-Imaging Hyperspectral Data to Estimate Biophysical Characteristics of Leaves</t>
  </si>
  <si>
    <t>https://link.springer.com/chapter/10.1007/978-981-13-9187-3_35</t>
  </si>
  <si>
    <t>Hyperspectral AVIRIS-NG Image Analysis with SMACC and PPI Algorithms for Endmember Extraction</t>
  </si>
  <si>
    <t>http://dx.doi.org/10.1007/978-981-13-9181-1_28</t>
  </si>
  <si>
    <t>Comparative Study and Analysis of Dimensionality Reduction Techniques for Hyperspectral Data</t>
  </si>
  <si>
    <t>http://dx.doi.org/10.1007/978-981-13-9181-1_47</t>
  </si>
  <si>
    <t>Impact of Dimensionality Reduction Techniques on on Endmember Identification in Hyperspectral Imagery</t>
  </si>
  <si>
    <t>https://link.springer.com/chapter/10.1007/978-981-13-9187-3_44</t>
  </si>
  <si>
    <t>A Crop discrimination based on reflectance spectroscopy using spectral vegetation indices (SVI)</t>
  </si>
  <si>
    <t>https://link.springer.com/chapter/10.1007/978-981-13-9187-3_27</t>
  </si>
  <si>
    <t>Hyperspectral Endmember Extraction Techniques</t>
  </si>
  <si>
    <t>https://www.intechopen.com/chapters/68884</t>
  </si>
  <si>
    <t>Dr. Seema Suresh Kawathekar</t>
  </si>
  <si>
    <t>An Implementaion for Segmentation of Brain Detection From MRI Images Using Content Based Image Retrieval</t>
  </si>
  <si>
    <t>Hadoop Map Reduce using Biomedical Images</t>
  </si>
  <si>
    <t>Feature Selection and Polarity Classifiaction Using Machine Learning Algorithms NB &amp; SVM</t>
  </si>
  <si>
    <t>IMPACT OF ICT ON STUDENTS IN PRIMARY AND SECONDARY SCHOOLS IN INDIA</t>
  </si>
  <si>
    <t>ISCA, KolkataLPU Punjab</t>
  </si>
  <si>
    <t>ROLE OF ICT FOR SUSTAINABLE DEVELOPMENT OF FUTURE INDIA</t>
  </si>
  <si>
    <t>THE IMPACT OF ICT ON EDUCATION IN INDIA</t>
  </si>
  <si>
    <t>STUDY OF NASA EARTH SCIENCE DATA SYSTEMS PROGRAM FOR RESEARCHERS AND SCIENTIST</t>
  </si>
  <si>
    <t>Optimal Band Selection for Improvement of Hyperspectral Palmprint Recognition System by Using SVM and KNN Classifier</t>
  </si>
  <si>
    <t>MFDS-m Red Edge Position Detection Algorithm for Discrimination Between Healthy and Unhealthy Vegetable Plants</t>
  </si>
  <si>
    <t>Land Use and Cover Mapping Using SVM and MLC Classifiers: A Case Study of Aurangabad City,Maharashtra, India</t>
  </si>
  <si>
    <t>USE OF SPECTRAL PALMPRINT FOR PERSON IDENTIFICATION AND RECOGNITION BY USING ASD FIELDSPEC 4SPECTRORADIOMETER</t>
  </si>
  <si>
    <t>https://link.springer.com/chapter/10.1007/978-981-13-9187-3_30</t>
  </si>
  <si>
    <t>Comparison of Neural Network Training Functions for Prediction of Outgoing Longwave Radiation over the Bay of Bengal</t>
  </si>
  <si>
    <t>Automatic Traffic Sign Detection and Classification of Indian Traffic Signage’s Based on Multi-feature Fusion</t>
  </si>
  <si>
    <t>Identification of educationally backward countries in primary , secondary and tertiary level students by using different classification techniques</t>
  </si>
  <si>
    <t>Development of Early Prediction Model for Epileptic Seizures.</t>
  </si>
  <si>
    <t>Dr. BHARTI WAMANRAO GAWALI</t>
  </si>
  <si>
    <t>Computerized Medical Disease Identification Using Respiratory Sound Based on MFCC and Neural Network</t>
  </si>
  <si>
    <t>Vulnerability Assessment of Climate-Smart Agriculture</t>
  </si>
  <si>
    <t>Web Based GIS Village Information System: A Review</t>
  </si>
  <si>
    <t>Computer aided Diagnosis System for Skin Disease Identification</t>
  </si>
  <si>
    <t>1556-5068</t>
  </si>
  <si>
    <t>-Improved method of histopathological images of intraductal breast lesions for classification</t>
  </si>
  <si>
    <t>efficient segmentation and classification method for intraductal breast lesions</t>
  </si>
  <si>
    <t>ELSEVIER(SSRN)</t>
  </si>
  <si>
    <t>Brain Computer Interface Based EEG for Emotion Recognition System:A Systematic Review</t>
  </si>
  <si>
    <t>-Clinical Text Engineering using Natural Language Processing Tools in Healthcare Domain :A Systematic Review</t>
  </si>
  <si>
    <t>Women security and empowerment through computer science and information technology in 21st century :India and abrod</t>
  </si>
  <si>
    <t>Statistical analysis of Soil properties using Non-Imaging Spectral data for quantitative analysis of Raver Tehsil</t>
  </si>
  <si>
    <t>Methods of Electroencephalography in Neurolinguistics: A Systematic Review</t>
  </si>
  <si>
    <t>Grenze International Journal of Engineering and Technology (GIJET)</t>
  </si>
  <si>
    <t>Preprocessing of Text for Emotion Detection and Sentiment Analysis of Hindi Movie Reviews</t>
  </si>
  <si>
    <t>Story Summarization Using a Question-Answering Approach</t>
  </si>
  <si>
    <t>Identification of Malignant Region Through Thermal Images: Study of Different Imaging Techniques</t>
  </si>
  <si>
    <t>Medical Infrared Image Analysis for Detecting Malignant Regions of the Human Body</t>
  </si>
  <si>
    <t>Pre-processing of Linguistic Divergence in English Marathi Language Pair in Machine Translation</t>
  </si>
  <si>
    <t>Development of classification system for LULC using remote sensing and GIS</t>
  </si>
  <si>
    <t>Evaluation of the potentials and challenges of land observation satellites</t>
  </si>
  <si>
    <t>Copy-Move Image Forgery Detection Using Discrete Wavelet Transform</t>
  </si>
  <si>
    <t>Extraction of Key Frame from Random Videos Based On Discrete Cosine Transformation</t>
  </si>
  <si>
    <t>https://www.sciencedirect.com/science/article/pii/S2666285X21000029</t>
  </si>
  <si>
    <t>https://www.sciencedirect.com/science/article/pii/S2666285X21000108</t>
  </si>
  <si>
    <t>https://link.springer.com/chapter/10.1007/978-981-16-0507-9_14#:~:text=Then%20apply%20wavelet%20transform%20(Daubechies,then%20colour%20that%20forge%20part.</t>
  </si>
  <si>
    <t>https://link.springer.com/chapter/10.1007/978-981-16-0507-9_24</t>
  </si>
  <si>
    <t>Recent Advances in IoT Based Smart Object Detection and Its Authentication by BlockChain Approaches</t>
  </si>
  <si>
    <t>https://link.springer.com/chapter/10.1007/978-981-16-0507-9_4</t>
  </si>
  <si>
    <t>Recognition of Partial Handwritten MODI characters using zoning</t>
  </si>
  <si>
    <t>https://link.springer.com/chapter/10.1007/978-981-16-0507-9_35#:~:text=Zoning%20was%20one%20of%20the,considered%20square%2C%20rectangular%20zoning%20patterns.</t>
  </si>
  <si>
    <t>Combining Multiple Classifiers Using Hybrid Votes Technique with Leaf Vein Angle, CNN and Gabor Features for Plant Recognition</t>
  </si>
  <si>
    <t>https://link.springer.com/chapter/10.1007/978-981-16-0493-5_28</t>
  </si>
  <si>
    <t>https://www.researchgate.net/publication/340994872_Automatic_Traffic_Sign_Detection_and_Classification_of_Indian_Traffic_Signage's_Based_on_Multi-feature_Fusion</t>
  </si>
  <si>
    <t>Lok Sahitya wa Loknatyatil Striwadi Vichar</t>
  </si>
  <si>
    <t>Sabhi Shakhao ki shiksha pranali me natya shiksha ka yogdan</t>
  </si>
  <si>
    <t>Natya tatha sahitya ki dharame hindi bhasha ka yogdan</t>
  </si>
  <si>
    <t>Contribution of tourism in National Development</t>
  </si>
  <si>
    <t>Loknatyatil Abhinay</t>
  </si>
  <si>
    <t>Aadiwasi Loksansriti me vivah ke awsar par prastut "Telwan" sanskar natya : Ek adhyayan</t>
  </si>
  <si>
    <t>Vimukta Nomkadic Castes-Tribes &amp; OBC Development &amp; Challenges</t>
  </si>
  <si>
    <t>Bajara Population towards Socio-Economic and Political Representation in India State</t>
  </si>
  <si>
    <t>978-93-89264-48-7</t>
  </si>
  <si>
    <t>National Bajara Professor Association</t>
  </si>
  <si>
    <t>Policy initiatives and their impact on development of marathwada</t>
  </si>
  <si>
    <t>https://online.bamu.ac.in/naac_ssr/file_upload/30_41081_9331.pdf</t>
  </si>
  <si>
    <t>https://www.flipkart.com/hi/hind-e-ratna-maluki-banjaran/p/itm84c989830ba8a</t>
  </si>
  <si>
    <t>A Women Education in Society of Tribal</t>
  </si>
  <si>
    <t>dept of education university of Mumbai</t>
  </si>
  <si>
    <t>Aadhivasi samajatil stryanche shikshan</t>
  </si>
  <si>
    <t>Depatment of home Science</t>
  </si>
  <si>
    <t>A Study of needs and importance of lifelong learning among the women of aurangabad city</t>
  </si>
  <si>
    <t>dept of education University of Mumbai</t>
  </si>
  <si>
    <t>Tribal Development Department - Skill a Development Scheme</t>
  </si>
  <si>
    <t>ISSN 2277-5730</t>
  </si>
  <si>
    <t>Ajanta prakashan</t>
  </si>
  <si>
    <t>H.I.V./Aidsgrast vidhyarthyana yenarya samsayancha aabhyas</t>
  </si>
  <si>
    <t>Role of Parents</t>
  </si>
  <si>
    <t>Life skill education</t>
  </si>
  <si>
    <t>higher education: Adivasi Education</t>
  </si>
  <si>
    <t>2277-5730</t>
  </si>
  <si>
    <t>-`</t>
  </si>
  <si>
    <t>Quality Assurance in Higher Education in Asian &amp; European Universities</t>
  </si>
  <si>
    <t>Mahila sashaktikarn:saman soache, smart bane,parivartan ke liye nvachar</t>
  </si>
  <si>
    <t>Research writing &amp;PERSONALITY Development workshop</t>
  </si>
  <si>
    <t>3rd International conference on research trends in engineering,applied science and management</t>
  </si>
  <si>
    <t>Aadivashi samajatil aandhashrademule niraman ghenarya samsya aani striya</t>
  </si>
  <si>
    <t>Study of Academic Achievement in relation to Teaching Aptitude, Attitude towards Teaching and Anxiety</t>
  </si>
  <si>
    <t>978-0-9931224-7-7</t>
  </si>
  <si>
    <t>London School of Management Education (LSME), London, UK</t>
  </si>
  <si>
    <t>https://d1wqtxts1xzle7.cloudfront.net/55354146/A-Studiety-By-Mrs-Santwana-G-Mishra-Dr-K-L-Chincholikar_1-libre.pdf?1513934904=&amp;response-content-disposition=inline%3B+filename%3DA_Study_Of_Relationship_Of_Academic_Achi.pdf&amp;Expires=1718473084&amp;Signature=F0Q7sv8mdAdmdViLvkZQxH1P-v~tqza7JClSXThV4UsZVLLMv7P26zX5fb60jONshjT51MVRIJTq~GQEEnxsjPXP4AWtQEI4HqZ-3MVhOr430P8H9sC3i680e2PakFU369Jiuabwk5eI2KUGgquPhLnrRCmvoRXf4aC1rbazwr-CICCrRTEXOzT0PZ6AsErG5CJVclEEVJmBFppbTmFd2GKMzjk~5fFuUH90vQlrvVRrnHVbd5k-vSf45glDz-Wv9ZzYEgFD9EiW9v1szim0E9HkIDaoYaqmP7aK34OLVfZZUvySWgjOvVXA0fBi7rGEmm~3Qsu5S1GPivxW-67Rag__&amp;Key-Pair-Id=APKAJLOHF5GGSLRBV4ZA</t>
  </si>
  <si>
    <t>Reform and Innovation in Higher Education</t>
  </si>
  <si>
    <t>Application of E Content Creation</t>
  </si>
  <si>
    <t>Child Rights and Security</t>
  </si>
  <si>
    <t>Implementation NEP-2020</t>
  </si>
  <si>
    <t>Smt. Putalaben Shah College of Education, Sangali</t>
  </si>
  <si>
    <t>Panchkosh Vikas</t>
  </si>
  <si>
    <t>Goa Samagra Siksha Govt. of Goa</t>
  </si>
  <si>
    <t>Employment Up skilling After Covid-19 Pandemic</t>
  </si>
  <si>
    <t>NEP-2020: A Roadmap of 21st Century School Education System in India</t>
  </si>
  <si>
    <t>Kasturbai College of Education, Solapur</t>
  </si>
  <si>
    <t>Online Resources and Tool for Teaching and Learing</t>
  </si>
  <si>
    <t>Innovative Practices in Teacher Education</t>
  </si>
  <si>
    <t>Integration of ICT in Secondary Education</t>
  </si>
  <si>
    <t>Dr. Babasaheb Ambedkar ‘s contribution in Education Sector</t>
  </si>
  <si>
    <t>Important of Management For Career Development</t>
  </si>
  <si>
    <t>Mahatma Jotirao Phule &amp; Savitribai Phule: Pioneers of Women Education for Empowerment of Women in India</t>
  </si>
  <si>
    <t>--Demytholozing The Hegeonic Myth: Jotirao Phles Slavery</t>
  </si>
  <si>
    <t>aAshwantrao chavan Maharastra Mukat Vidhyapth, Nasik</t>
  </si>
  <si>
    <t>-MOGHAL THE EMPERORS OF THE WORLD</t>
  </si>
  <si>
    <t>SATRA CHI NATAKA BY MUSTAJEEB KHAN</t>
  </si>
  <si>
    <t>-EDUCATING WOMEN- ISSUES AND CHALLENGES</t>
  </si>
  <si>
    <t>Presentation and Leadership Skills for Success</t>
  </si>
  <si>
    <t>Postmodern Voices and Transdisciplinarity</t>
  </si>
  <si>
    <t>Science Fiction Envisions a Society of the Future</t>
  </si>
  <si>
    <t>28th Online Short Term Course on E Content Development</t>
  </si>
  <si>
    <t>The Relationship Between Literature and Psychology</t>
  </si>
  <si>
    <t>Science Fiction Envisions A Society of the Future</t>
  </si>
  <si>
    <t>--Qualitative study of water resource of Chandoli National Park, Northen Western Ghats, Maharashtra, India</t>
  </si>
  <si>
    <t>Dr. Shirish Shivaji Ambekar</t>
  </si>
  <si>
    <t>21st centuries color , medium &amp; technique in Maharashtra painting</t>
  </si>
  <si>
    <t>JANTA PRAKASHAN</t>
  </si>
  <si>
    <t>ajanta</t>
  </si>
  <si>
    <t>Importance of art education in human life</t>
  </si>
  <si>
    <t>tanda, yadi, chal aab to parda uthana hi hoga</t>
  </si>
  <si>
    <t>278-8077</t>
  </si>
  <si>
    <t>Gajal Kya hai</t>
  </si>
  <si>
    <t>Sanghashrat Manvi Gatha: Phas</t>
  </si>
  <si>
    <t>Sanvedanao ka bhuaayami Sansar</t>
  </si>
  <si>
    <t>Khare Aasalele Khare</t>
  </si>
  <si>
    <t>Abhivaikti ke Khatre Uthata Kahinikar Muktibodh</t>
  </si>
  <si>
    <t>Pramchand Lakhan ki Biradari ka Upanyas: Rehan par ragghu</t>
  </si>
  <si>
    <t>Ek Hoti Rajani</t>
  </si>
  <si>
    <t>Chhinnamul uachatarshisha punvirnyas ki aavshkta</t>
  </si>
  <si>
    <t>Brahmanvad ki Girfta me Dalit Manas-10</t>
  </si>
  <si>
    <t>Brahmanvad ki Girfta me Dalit Manas-11</t>
  </si>
  <si>
    <t>Aanjam-A-Gulista Kya Hoga?</t>
  </si>
  <si>
    <t>Brahmanvad ki Girfta me Dalit Manas-12</t>
  </si>
  <si>
    <t>Kavyantar-Ramnika Gupta</t>
  </si>
  <si>
    <t>Kavyantar Vishnu Nagar</t>
  </si>
  <si>
    <t>patra-sanwad</t>
  </si>
  <si>
    <t>kyu Tera Rah Gujar yaad aya</t>
  </si>
  <si>
    <t>Ekkisavi sadi ki Hindi kahani vividh ayam</t>
  </si>
  <si>
    <t>Gandhi darshan ke alok me Hindi ka Kathamatk Sahitya</t>
  </si>
  <si>
    <t>Brahmanvad ki Girfta me Dalit Manas-13</t>
  </si>
  <si>
    <t>Marathi bhasha bhashi ke Chhatro ke hindi adhyana ki samsaya</t>
  </si>
  <si>
    <t>Har Shkhas Pareshan -sa kyu hai</t>
  </si>
  <si>
    <t>Kavyantar Katyayni</t>
  </si>
  <si>
    <t>Ekkisavi shatabdhi ki hindi Kavita me Mahanagariy bhod</t>
  </si>
  <si>
    <t>Maharashtra ki Bhumi me Gure Gorkhnath ka dhisha dan</t>
  </si>
  <si>
    <t>Hindi Vibhag Suvarn Jayanti Visheshank</t>
  </si>
  <si>
    <t>Ghandhi Dharshan ke Aalok me hindi ka kathamtak chunotiya</t>
  </si>
  <si>
    <t>Marathi bhasha bhashi ke hindi adhyana ki samsaya</t>
  </si>
  <si>
    <t>Sita ki vibhinna Bhavmurtiyo ka Apratim kolaj Sita ki khoj</t>
  </si>
  <si>
    <t>Ek Ladaki ki Ajay Katha Chnna</t>
  </si>
  <si>
    <t>Hindi Kavita mw sanvidhanik muly</t>
  </si>
  <si>
    <t>Subranyam Bharati ki Kavita me Prem ke rup</t>
  </si>
  <si>
    <t>HINDI BHASHA SAHITYA AUR CINEMA</t>
  </si>
  <si>
    <t>Hindi kavita me Sanvidhannik muly</t>
  </si>
  <si>
    <t>Hindi Marati Kavita me Ambedkarvad Drushti</t>
  </si>
  <si>
    <t>Hindi marati kavita me Abedkarvadi Vichardhara</t>
  </si>
  <si>
    <t>https://www.amazon.in/-/hi/Bharti-Gore/dp/B0CQK7N1J2/ref=sr_1_1?dib=eyJ2IjoiMSJ9.mOS_Z_amGl0rLB0XV6pVccXnzw0yYV6GM7B5cakT3LxM9XLGhZm4U5zJUQ-fy0AkuvOyYcgoEun02saiL8GOS1pVxozfuHXOpAMbHFcGxq6lIcOUXVqrg4El0ZII4HGu.z9P7smVT9sqGMRPwwjr3sQ_iLRjhjxA8Lgp2NiicWBc&amp;dib_tag=se&amp;qid=1718468127&amp;refinements=p_27%3ABharti+Gore&amp;s=books&amp;sr=1-1</t>
  </si>
  <si>
    <t>-Sugam Kavy Shashtra</t>
  </si>
  <si>
    <t>https://www.amazon.in/-/hi/Ajay-Kandar/dp/9357755632</t>
  </si>
  <si>
    <t>Krantikari Kavi Aur Vidrohi Sant Mahatma Kabir</t>
  </si>
  <si>
    <t>Hindi Gajal me Yugin Yathart</t>
  </si>
  <si>
    <t>‘The cantonment town of Aurangabad: contextualizing Christian missionary activities in the nineteenth century’</t>
  </si>
  <si>
    <t>The cantonment town of Aurangabad: contextualizing Christian missionary activities in the nineteenth century’</t>
  </si>
  <si>
    <t>Nil</t>
  </si>
  <si>
    <t>International Journal for Indian Studies</t>
  </si>
  <si>
    <t>‘Khuldabad Pilgrimage Town of Medieval Deccan’</t>
  </si>
  <si>
    <t>BHAKTI PANTHA TIL STREE UPEKSHA AANI VIDROH</t>
  </si>
  <si>
    <t>Dr. GITANJALI BHIMRAO BORADE</t>
  </si>
  <si>
    <t>NYA NARENDRA PURUSHOTTAM CHAPALGAONKAR EK ETHIHASIK CHINTAN</t>
  </si>
  <si>
    <t>SHAHU MAHAVIDYALAYA LATUR</t>
  </si>
  <si>
    <t>Dr. anand kakasaheb deshmukh</t>
  </si>
  <si>
    <t>Legislative Attempts to Prevent and Control Water pollution in India: An overriew New Challeges to Indian Democracy in 21st Century: Perspectives &amp; strategies</t>
  </si>
  <si>
    <t>ISBN: 978-3-659-81218-7</t>
  </si>
  <si>
    <t>Criminalisation of Politics Vis-a-Vis Electoral Reforms in India-A Critigue</t>
  </si>
  <si>
    <t>ISBN: 978-81-923531-3-5</t>
  </si>
  <si>
    <t>Manikchand Law College, Aurangabad</t>
  </si>
  <si>
    <t>Dr. sadhana pandurangprasad pande</t>
  </si>
  <si>
    <t>--</t>
  </si>
  <si>
    <t>‘Role of Patents in Transfer of New Technology: A Critique.’</t>
  </si>
  <si>
    <t>Innovative commucation Techniques in Teaching library and Information Science</t>
  </si>
  <si>
    <t>Content Analysis of “British Food Journal”</t>
  </si>
  <si>
    <t>A Scientometric Analysis of “Journal of Marketing” (2012-2016).</t>
  </si>
  <si>
    <t>-Quantitative Research in Library and Information Science: A Study .</t>
  </si>
  <si>
    <t>Mapping of Indian Plant Tissue culture Research: A Scientometric Analysis</t>
  </si>
  <si>
    <t>Initiatives of Digital Libraries in India: An Overview</t>
  </si>
  <si>
    <t>Implementation of Digital Library in India Opportunities and Challenges</t>
  </si>
  <si>
    <t>Open Source Software for Librarians: An Overview</t>
  </si>
  <si>
    <t>Role of social media in university libraries</t>
  </si>
  <si>
    <t>Web based services for college library</t>
  </si>
  <si>
    <t>Continuing professional development for library professionals: An Overview</t>
  </si>
  <si>
    <t>Information Literacy in Eric: A Scientometric Profile</t>
  </si>
  <si>
    <t>Citations Analysis of Ph.D Theses on Mathematics: A Bibliometric study</t>
  </si>
  <si>
    <t>Scientometric Analysis of Soil Physics</t>
  </si>
  <si>
    <t>Bibliometric Analysis of Human Genetics On Web of Science Database</t>
  </si>
  <si>
    <t>Open source Software: an overview</t>
  </si>
  <si>
    <t>Soil Science Research: A Bibliometric Study</t>
  </si>
  <si>
    <t>Roles of libraries in research</t>
  </si>
  <si>
    <t>Open Source Softyware use in Libraries:An Overview</t>
  </si>
  <si>
    <t>Librarianship and Social Networking</t>
  </si>
  <si>
    <t>Digital Library: An Overview</t>
  </si>
  <si>
    <t>Re-Engineering of Libraries: Trends and Issues</t>
  </si>
  <si>
    <t>Plagiarism and Research Ethics and Overview</t>
  </si>
  <si>
    <t>Emerging Technology in Library and Information Science</t>
  </si>
  <si>
    <t>Social Media and Libraries: An Overview</t>
  </si>
  <si>
    <t>Intellectual Property Rights: National and International Efforts</t>
  </si>
  <si>
    <t>Awarness of the Cyber Law Basic Role, Need and its Copyrighting Issues</t>
  </si>
  <si>
    <t>Intellectual Property Rights in Libraries: An Overview</t>
  </si>
  <si>
    <t>Research Metrics : An Overview</t>
  </si>
  <si>
    <t>Librarianship and Social Networking Tools</t>
  </si>
  <si>
    <t>Social Networking Websites: An Overview</t>
  </si>
  <si>
    <t>Tools and Technology of SNS: An Overview</t>
  </si>
  <si>
    <t>Popular Social Media Sites: Impact on Society</t>
  </si>
  <si>
    <t>Open Source Software use in Libraries:An Overview</t>
  </si>
  <si>
    <t>Reinventing Trends of Libraries and Librarians in Digital Landscape</t>
  </si>
  <si>
    <t>Digital Plateforms of Indian Council of Agriculture Research (ICAR): An Overview</t>
  </si>
  <si>
    <t>Digital Libraries</t>
  </si>
  <si>
    <t>Intellectual Property Rights in the Network digital Envirronment</t>
  </si>
  <si>
    <t>Plagiarism: Issues and Challenges: An Overview</t>
  </si>
  <si>
    <t>Plagiarism concept and types of Plagiarism Overview</t>
  </si>
  <si>
    <t>Significance of Libraries in New Education Policy As Supporting System</t>
  </si>
  <si>
    <t>Library Content Management in the Digital Era</t>
  </si>
  <si>
    <t>Digital Libraries: Emerging Issues and Challenges</t>
  </si>
  <si>
    <t>History of Library Catalog: From Clay Tablets to Online Public Access Catalogue</t>
  </si>
  <si>
    <t>Mobile Cloud Computing and Android Technology: An Overview</t>
  </si>
  <si>
    <t>Makerspace in Library: An Overview</t>
  </si>
  <si>
    <t>Library and Information Science Research: An Overview</t>
  </si>
  <si>
    <t>Research Analytics and Programming Tools: An Overview</t>
  </si>
  <si>
    <t>Library Collection Management: An Overview</t>
  </si>
  <si>
    <t>Open Source Software for Library Automation and Management</t>
  </si>
  <si>
    <t>Role &amp; Significance of International Education Consultants for Thai Students</t>
  </si>
  <si>
    <t>ISSN 22314687</t>
  </si>
  <si>
    <t>.</t>
  </si>
  <si>
    <t>Implication of Goods &amp; Services tax reform on the make in India Initiative: A system Dynamics perspective</t>
  </si>
  <si>
    <t>Web Application Security</t>
  </si>
  <si>
    <t>Dr. SUCHETA SACHIN YAMBAL</t>
  </si>
  <si>
    <t>A Study on Impact of Electronic media on Children in India</t>
  </si>
  <si>
    <t>A study on online Customer giving a run for their money to retail business in Aurangabad Maharashtra</t>
  </si>
  <si>
    <t>Dr. SATISH VIKRAMRAO BHALSHANKAR</t>
  </si>
  <si>
    <t>A Critical Insight into Marathi Speech recognition and techniques</t>
  </si>
  <si>
    <t>978-1-6654-0052-7</t>
  </si>
  <si>
    <t>Dr. YASHWANT ARJUN WAYKAR</t>
  </si>
  <si>
    <t>The Impact of Technological Constraints in Fashion Industries with special preference to women apparels on Social Media</t>
  </si>
  <si>
    <t>M.C.E. Society’s Allana Institute of Management Sciences, Pune.</t>
  </si>
  <si>
    <t>https://www.aimsjournal.org/uploads/78/13540_pdf.pdf</t>
  </si>
  <si>
    <t>Dr. ABHIJEET SUKHDEO SHELKE</t>
  </si>
  <si>
    <t>Effect of Leadership and Innovations on Business Performance; A Structural Equation Modelling Analysis</t>
  </si>
  <si>
    <t>978-1-6654-2040-2/21$31.00</t>
  </si>
  <si>
    <t>suppy Chain Risk Mitigation: Rescheduling the Risky Suppliers Using Multi Criteria Linear Goal Programing</t>
  </si>
  <si>
    <t>978-0-7354-4179-8/$30.00</t>
  </si>
  <si>
    <t>AIP</t>
  </si>
  <si>
    <t>Dr. KAVERI SHRIDHAR LAD</t>
  </si>
  <si>
    <t>Technology driven Financial System: Current Scenario and the way ahead</t>
  </si>
  <si>
    <t>LEVERAGING INFORMATION AND COMMUNICATION TECHNOLOGY (ICT) FOR FINANCIAL INCLUSION TROUGH DISSEMINATION OF FINANCIAL EDUCATION</t>
  </si>
  <si>
    <t>"Applying principal component to study the Yemini student in Aurangabad immunity against covid-19"</t>
  </si>
  <si>
    <t>2319-6734</t>
  </si>
  <si>
    <t>Nurturing and transforming Business Practices in Global Village</t>
  </si>
  <si>
    <t>GLOBAL BUSINESS SCHOOL AND RESEARCH CENTRE</t>
  </si>
  <si>
    <t>Study of Deep Learning Techniques for Development of Chatbot Models</t>
  </si>
  <si>
    <t>978-1-6654-6539-7</t>
  </si>
  <si>
    <t>Technology-driven financial system: Current Scenario and the way ahead</t>
  </si>
  <si>
    <t>IIM Nagpur</t>
  </si>
  <si>
    <t>-Management &amp; IT for Rural Enerpreneurship</t>
  </si>
  <si>
    <t>--Consumer Behaviour and Brand Preference</t>
  </si>
  <si>
    <t>--Investment Management of Salaried Employees</t>
  </si>
  <si>
    <t>-An Analysis of Recruitment and Selection With Reference To Retail Sector</t>
  </si>
  <si>
    <t>na</t>
  </si>
  <si>
    <t>Preface</t>
  </si>
  <si>
    <t>Dr. Babasaheb Ambedkarancha Sahityavichar</t>
  </si>
  <si>
    <t>Natya Wangmyache Sanshodhan</t>
  </si>
  <si>
    <t>Inaguration Speech</t>
  </si>
  <si>
    <t>JIGEESHA</t>
  </si>
  <si>
    <t>ISBN : 978-93-81338-02-5</t>
  </si>
  <si>
    <t>GODA PRAKASHAN AURANGABAD</t>
  </si>
  <si>
    <t>Analytical Solution to the Non-Linear Partial Differential Equation for Water Infiltration in Unsaturated soils by Laplace Transform Homotopy Perturbation Method</t>
  </si>
  <si>
    <t>Bio Decolourization of Textile Dye Red ED3B by Bacterial Cultures</t>
  </si>
  <si>
    <t>Dr. SANJAY Jagannath CHANDRASHEKHAR</t>
  </si>
  <si>
    <t>A Comparative study of Depression between softbal &amp; Cricket inter colligiate male players</t>
  </si>
  <si>
    <t>2319-8648</t>
  </si>
  <si>
    <t>Curent Gobal Reviers</t>
  </si>
  <si>
    <t>Importance of stress managment in Physical Education</t>
  </si>
  <si>
    <t>978-81-9566580-8</t>
  </si>
  <si>
    <t>Rajarshi Pulication</t>
  </si>
  <si>
    <t>International Journal of creative research thoughts</t>
  </si>
  <si>
    <t>2320-2882</t>
  </si>
  <si>
    <t>POOJA DUTONDE</t>
  </si>
  <si>
    <t>A Study of the measures taken by the citizens for health promotion during Covid-19</t>
  </si>
  <si>
    <t>2319 9318</t>
  </si>
  <si>
    <t>WALJE KIRAN CHHAGAN</t>
  </si>
  <si>
    <t>Dr. DR. MAHENDRA DASHRATH SHIRSAT</t>
  </si>
  <si>
    <t>https://pubs.aip.org/aip/acp/article-abstract/1953/1/020002/857964/Comparative-VOCs-sensing-performance-for?redirectedFrom=PDF</t>
  </si>
  <si>
    <t>https://ui.adsabs.harvard.edu/abs/2018AIPC.1953j0034P/abstract</t>
  </si>
  <si>
    <t>https://pubs.aip.org/aip/acp/article-abstract/1953/1/100058/792539/Copolymers-of-polyaniline-and-poly-o-toluidine?redirectedFrom=fulltext</t>
  </si>
  <si>
    <t>https://pubs.aip.org/aip/acp/article-abstract/1953/1/100070/792319/Spectroscopic-investigations-upon-100MeV-oxygen?redirectedFrom=fulltext</t>
  </si>
  <si>
    <t>978-1-6654-6709-4</t>
  </si>
  <si>
    <t>https://ieeexplore.ieee.org/document/8915320</t>
  </si>
  <si>
    <t>Enhancement of Electrical Resistivity in Nickel Doped ZnO Nanoparticles</t>
  </si>
  <si>
    <t>2212-8271</t>
  </si>
  <si>
    <t>https://pdf.sciencedirectassets.com/306234/1-s2.0-S2351978918X00031/1-s2.0-S2351978918301057/main.pdf?X-Amz-Security-Token=IQoJb3JpZ2luX2VjECcaCXVzLWVhc3QtMSJHMEUCIQDpb1CXyqbnid5Sx5%2FbYZZF1kPGvXG0qGAmsAsHaoeyrgIgLfHJaW2FwQ5MlNjJ%2BJbIzb%2FV7n9I0Ndp%2BttxuxWLYw4quwUIv%2F%2F%2F%2F%2F%2F%2F%2F%2F%2F%2FARAFGgwwNTkwMDM1NDY4NjUiDAXr%2Bu8Rh1HoBfjbAyqPBRl89F9S0tHyeG2MJwdNzUYnnFSMUSl5zQ16zINDCzuxapBtq7qYmSMCSFPc0OCcCxbv81gTzL9BzXX2%2FQk7uQIOLWvdu1X4q%2F5tCJPwMLjGNcP0DkogDQBPIggLZ2eZF2YSz%2B1RxcfUdIXvhtX2%2BpisoSCjELvo%2BxC37XdNWR85PnmXp4SJD4rLS%2B1a1ItXZRNtI1ok18BBn9Hvl7%2BOihXsFxM9tRYB0h20hrpmpKgztBbaQkRD8DmyB5k3RCTlBLMR5Jx26l1rwRr%2BmQDcoDFbPRCe7yqOXBDDM3aBvFEv4HrYY3hDI%2BbVTf0Fh3H18xgh%2FpNxKh30O%2FpYuGDRydajXxLldoUJWT6jGh5wUizYw0sB5uSEKVVcN34ekd3I63lSaU2E9MqXo1ApjdAfITvJPZezqhHWKItSNDzcciwtSbyxc8rX1YJ95rRUF3VFRZum82hbZOuSqs2t0GaDNjDaYs7AMLaivVuMJpdKFQfW5ftPQ1PFAv0waV8ngSQDEUat5afwo%2FH3kKdFLEHr145NgM4RoACKagpHb0OJwzH1V33nxQC1aez%2FMH7%2B2sN51uLBsQtg73qabvNVIVU8%2FAI6rjagwNyi7CBf6NbQXrB%2B3lpRaKyN8suYhYBZJeUuN0FCXyE02No7ptJHhC5jnTSn5EnxV4mZ6XxdlfY%2FNQ2RRdfN2Kqi7yCoLj%2FCyU42UiX4akplFyYhp%2F0VJCt9jt4HAJhCD4K2ruwg%2FlCcngG0coqnqExjLj8yCOOeVBqQ3wr6hH4Zx2eM3AA5iw8mviLGuB5SwrtNa41HNGVooCUh3M7ZjoY%2FWO9JhH57%2BiOLzdddk4HOv56%2FrmGwWtk2IqMIpkcc0WpSuR%2FpTOXGCXEwhcO2swY6sQGE5v%2BkiN7JMkdSKMpR0QwEics3RQQwijKO7CFuIiEsVaBQCNMYFMwHdvacUORY%2BVDDt5mE2ZAYgEVnKVoFdxBEuJgfopbsdUrFxTG77dwcCed0aTGP%2FVqabe3Kfvi9n3AESSzbfpr%2FvXbYdGj748KdzYLVasKhLz2SyzitbToEDFv3y8Qb%2BmLtmGhRCOfn0U4eUVQezR1VmeyyQPOmQdQgjVVvYejM3CPzvZT3FRGoHNs%3D&amp;X-Amz-Algorithm=AWS4-HMAC-SHA256&amp;X-Amz-Date=20240615T153303Z&amp;X-Amz-SignedHeaders=host&amp;X-Amz-Expires=300&amp;X-Amz-Credential=ASIAQ3PHCVTY4MCBDEH6%2F20240615%2Fus-east-1%2Fs3%2Faws4_request&amp;X-Amz-Signature=949496e2e5ed16b10d9da64eda6ed594072149413e1bdce44bf98d90950cdab2&amp;hash=b2286dd650098d4757aa6dab4bb196c2c6ac1dde19464453f36a199ec4597d87&amp;host=68042c943591013ac2b2430a89b270f6af2c76d8dfd086a07176afe7c76c2c61&amp;pii=S2351978918301057&amp;tid=spdf-26918df1-298a-4917-aa74-393164a5a429&amp;sid=33f98f707949b74293992ba88adf9137cac1gxrqb&amp;type=client&amp;tsoh=d3d3LnNjaWVuY2VkaXJlY3QuY29t&amp;ua=0d095e585654560b0d&amp;rr=89439dc3ac509a77&amp;cc=in</t>
  </si>
  <si>
    <t>Symmetry transition via tetravalent impurity and investigations on magnetic properties of Li0.5Fe2.5O4</t>
  </si>
  <si>
    <t>https://pubs.aip.org/aip/acp/article-abstract/1942/1/050067/979504/Symmetry-transition-via-tetravalent-impurity-and?redirectedFrom=fulltext</t>
  </si>
  <si>
    <t>Temperature dependent viscosity of cobalt ferrite / ethylene glycol ferrofluids</t>
  </si>
  <si>
    <t>https://pubs.aip.org/aip/acp/article-abstract/1942/1/050044/846937/Temperature-dependent-viscosity-of-cobalt-ferrite?redirectedFrom=PDF</t>
  </si>
  <si>
    <t>Enhancement in surface area and magnetization of CoFe2O4 nanoparticles for targeted drug delivery application</t>
  </si>
  <si>
    <t>https://pubs.aip.org/aip/acp/article-abstract/1953/1/030193/817773/Enhancement-in-surface-area-and-magnetization-of?redirectedFrom=fulltext</t>
  </si>
  <si>
    <t>Structural and magnetic properties of nanocrystalline NiFe2O4 thin film prepared by spray pyrolysis technique</t>
  </si>
  <si>
    <t>https://pubs.aip.org/aip/acp/article-abstract/1953/1/120057/793433/Structural-and-magnetic-properties-of?redirectedFrom=PDF</t>
  </si>
  <si>
    <t>https://pubs.aip.org/aip/acp/article-abstract/1953/1/030195/797127/Structural-morphological-and-magnetic-properties?redirectedFrom=fulltext</t>
  </si>
  <si>
    <t>Effect of RE (Nd3+, Sm3+) oxide on structural, optical properties of Na2O-Li2O-ZnO-B2O3 glass system</t>
  </si>
  <si>
    <t>https://pubs.aip.org/aip/acp/article-abstract/1953/1/090074/794268/Effect-of-RE-Nd3-Sm3-oxide-on-structural-optical?redirectedFrom=PDF</t>
  </si>
  <si>
    <t>Structural and multiferroic properties of Ba2+ doped BiFeO3 nanoparticles synthesized via sol-gel method</t>
  </si>
  <si>
    <t>https://pubs.aip.org/aip/acp/article-abstract/1953/1/030276/797474/Structural-and-multiferroic-properties-of-Ba2?redirectedFrom=fulltext</t>
  </si>
  <si>
    <t>Dr. Dr. RAMPHAL BRAJIRAM SHARMA</t>
  </si>
  <si>
    <t>Synthesis and Characterization of Cu2S Thin Film Deposited by Chemical Bath Deposition Method</t>
  </si>
  <si>
    <t>2351-9789</t>
  </si>
  <si>
    <t>https://www.sciencedirect.com/science/article/pii/S2351978918301100</t>
  </si>
  <si>
    <t>Synthesis and characterization of structural, morphological and photosensor properties of Cu0.1Zn0.9S thin film prepared by a facile chemical method</t>
  </si>
  <si>
    <t>https://pubs.aip.org/aip/acp/article-abstract/1953/1/100014/792267/Synthesis-and-characterization-of-structural?redirectedFrom=PDF</t>
  </si>
  <si>
    <t>Structural and optoelectronic studies on Ag-CdS quantum dots</t>
  </si>
  <si>
    <t>https://ui.adsabs.harvard.edu/abs/2018AIPC.1953j0038M/abstract</t>
  </si>
  <si>
    <t>Study of various synthesis techniques of nanomaterials</t>
  </si>
  <si>
    <t>https://pubs.aip.org/aip/acp/article-abstract/1953/1/100072/792490/Synthesis-and-photosensor-study-of-as-grown-CuZnO?redirectedFrom=PDF</t>
  </si>
  <si>
    <t>Synthesis and photosensor study of as-grown CuZnO thin film by facile chemical bath deposition</t>
  </si>
  <si>
    <t>Dr. DR. BABASAHEB NIVRUTTI DOLE</t>
  </si>
  <si>
    <t>Preparation and study of Ni7+ swift heavy ions irradiation on Mn doped ZnO thin films</t>
  </si>
  <si>
    <t>https://pubs.aip.org/aip/acp/article-abstract/1953/1/030183/817952/Preparation-and-study-of-Ni7-swift-heavy-ions?redirectedFrom=PDF</t>
  </si>
  <si>
    <t>https://inis.iaea.org/search/search.aspx?orig_q=RN:51098389</t>
  </si>
  <si>
    <t>https://inis.iaea.org/search/search.aspx?orig_q=RN:51098391</t>
  </si>
  <si>
    <t>https://pubs.aip.org/aip/acp/article-abstract/2142/1/100001/802960/Study-of-thermo-physical-properties-of-binary?redirectedFrom=fulltext</t>
  </si>
  <si>
    <t>Investigations of structural, magnetic and induction heating properties of surface functionalized zinc ferrite nanoparticles for hyperthermia applications-</t>
  </si>
  <si>
    <t>https://pubs.aip.org/aip/acp/article-abstract/2115/1/030522/797765/Investigations-of-structural-magnetic-and?redirectedFrom=fulltext</t>
  </si>
  <si>
    <t>https://pubs.aip.org/aip/acp/article-abstract/2115/1/030523/797947/Evaluation-of-thermal-conductivity-of-the-NiFe2O4?redirectedFrom=PDF</t>
  </si>
  <si>
    <t>https://pubs.aip.org/aip/acp/article-abstract/2115/1/030261/796256/Synthesis-of-sodium-silicate-based-aerogels-by?redirectedFrom=fulltext</t>
  </si>
  <si>
    <t>Gamma radiation studies on organic nonlinear optical materials in the energy range 122–1330 keV</t>
  </si>
  <si>
    <t>2250-1762</t>
  </si>
  <si>
    <t>https://link.springer.com/article/10.1007/s40010-019-00636-1</t>
  </si>
  <si>
    <t>Study on the radiation shielding features of some chemical compounds</t>
  </si>
  <si>
    <t>1742-6596</t>
  </si>
  <si>
    <t>IOP</t>
  </si>
  <si>
    <t>https://www.proquest.com/openview/bb124cc5d92186476e1aff4eafb38c57/1.pdf?pq-origsite=gscholar&amp;cbl=4998668#:~:text=Obtained%20shielding%20parameters%20were%20observed,as%20compared%20to%20other%20materials.</t>
  </si>
  <si>
    <t>Gamma Ray Attenuation Properties Biomedical Important Organic Compounds</t>
  </si>
  <si>
    <t>https://iopscience.iop.org/article/10.1088/1742-6596/1644/1/012062/pdf</t>
  </si>
  <si>
    <t>FRONTIERS</t>
  </si>
  <si>
    <t>https://www.frontiersin.org/articles/10.3389/fmats.2020.00184/full</t>
  </si>
  <si>
    <t>https://pubs.aip.org/aip/acp/article-abstract/2265/1/030326/726179/Influence-of-annealing-on-chemically-grown-PbS?redirectedFrom=PDF</t>
  </si>
  <si>
    <t>Effect of zinc doping on water-based manganese ferrite nanofluids for magnetic hyperthermia application</t>
  </si>
  <si>
    <t>https://pubs.aip.org/aip/acp/article-abstract/2265/1/030557/808582/Effect-of-zinc-doping-on-water-based-manganese?redirectedFrom=PDF</t>
  </si>
  <si>
    <t>Synthesis of nanocrystalline nickel ferrite through soft chemistry method: A green chemistry approach using ginger extract</t>
  </si>
  <si>
    <t>https://pubs.aip.org/aip/acp/article-abstract/2265/1/030178/815366/Synthesis-of-nanocrystalline-nickel-ferrite?redirectedFrom=PDF</t>
  </si>
  <si>
    <t>Dextrose assisted sol-gel auto combustion synthesis and magnetic characterizations of cobalt ferrite nanoparticles</t>
  </si>
  <si>
    <t>https://pubs.aip.org/aip/acp/article-abstract/2265/1/030085/890053/Dextrose-assisted-sol-gel-auto-combustion?redirectedFrom=fulltext</t>
  </si>
  <si>
    <t>Multiferroic Fe3+ ion doped BaTiO3 Perovskite Nanoceramics: Structural, Optical, Electrical and Dielectric Investigations</t>
  </si>
  <si>
    <t>https://iopscience.iop.org/article/10.1088/1742-6596/1644/1/012058/meta</t>
  </si>
  <si>
    <t>Structural and Chemical Properties of ZnFe2O4 Nanoparticles Synthesised by Chemical Co-Precipitation Technique</t>
  </si>
  <si>
    <t>https://iopscience.iop.org/article/10.1088/1742-6596/1644/1/012014</t>
  </si>
  <si>
    <t>Magnetic Properties of Nickel Ferrite Magnetic Nanoparticles Prepared via Glycine Assisted Sol-Gel Auto Combustion Route</t>
  </si>
  <si>
    <t>https://iopscience.iop.org/article/10.1088/1742-6596/1644/1/012022/pdf#:~:text=Pure%20phase%20formation%20of%20nickel,and%2018.1emu%2Fgm%20respectively.</t>
  </si>
  <si>
    <t>Green synthesis of NiFe2O4 nanoparticles using different fuels and their structural characterization</t>
  </si>
  <si>
    <t>https://iopscience.iop.org/article/10.1088/1742-6596/1644/1/012003/pdf#:~:text=Nickel%20ferrite%20nanoparticles%20were%20successfully,sol%2Dgel%20auto%20combustion%20method.</t>
  </si>
  <si>
    <t>Structural and dielectric properties of mixed spinel ferrite Cu(0.7)Zn(0.3)Fe2O4 nanoparticles</t>
  </si>
  <si>
    <t>https://iopscience.iop.org/article/10.1088/1742-6596/1644/1/012012</t>
  </si>
  <si>
    <t>X-ray Diffraction, Infrared and Magnetic Studies of NiFe2O4 Nanoparticles</t>
  </si>
  <si>
    <t>https://iopscience.iop.org/article/10.1088/1742-6596/1644/1/012010/pdf</t>
  </si>
  <si>
    <t>Wet chemical synthesis and investigations of structural and dielectric properties of BaTiO3 nanoparticles</t>
  </si>
  <si>
    <t>https://iopscience.iop.org/article/10.1088/1742-6596/1644/1/012007/pdf</t>
  </si>
  <si>
    <t>Structural, Morphological and Magnetic Properties of Cu2+ Doped ZnO Nanoparticles</t>
  </si>
  <si>
    <t>https://iopscience.iop.org/article/10.1088/1742-6596/1644/1/012008/pdf</t>
  </si>
  <si>
    <t>Simultaneous reduction of graphene oxide (GO) and formation of rGO/Gly-Gly composite for sensitive detection of Cu2+ ions</t>
  </si>
  <si>
    <t>PANI-ZnO cladding-modified optical fiber biosensor for urea sensing based on evanescent wave absorption</t>
  </si>
  <si>
    <t>Electrochemical Sensor: L-Cysteine Induced Selectivity Enhancement of Electrochemically Reduced Graphene Oxide–Multiwalled Carbon Nanotubes Hybrid for Detection of Lead (Pb2+) Ions</t>
  </si>
  <si>
    <t>materials today proceedings</t>
  </si>
  <si>
    <t>Dr. Dr. GOPICHAND MANIKRAO DHARNE</t>
  </si>
  <si>
    <t>Effects on Structural, Functional groups and Photo Luminance Properties of Copper Doped Zinc Oxide NanoparticlesEffects on Structural, Functional groups and Photo Luminance Properties of Copper Doped Zinc Oxide Nanoparticles</t>
  </si>
  <si>
    <t>https://www.researchgate.net/publication/346141455_Effects_on_Structural_Functional_groups_and_Photo_Luminance_Properties_of_Copper_Doped_Zinc_Oxide_Nanoparticles</t>
  </si>
  <si>
    <t>Microwave dielectric polarization study of polar liquids at 298 K</t>
  </si>
  <si>
    <t>https://pubs.aip.org/aip/acp/article-abstract/2220/1/140003/890209/Microwave-dielectric-polarization-study-of-polar?redirectedFrom=fulltext</t>
  </si>
  <si>
    <t>-Growth and optoelectronic properties of CuFeS2 thin film and effect of annealing temperature</t>
  </si>
  <si>
    <t>https://pubs.aip.org/aip/acp/article-abstract/2369/1/020193/669005/Growth-and-optoelectronic-properties-of-CuFeS2?redirectedFrom=fulltext</t>
  </si>
  <si>
    <t>https://www.researchgate.net/publication/354558524_Sol-Gel_synthesis_structural_characterizations_photo-_catalytic_degradation_for_H2_production_and_UV-Absorption_of_yttrium-substituted_Co-Zn_ferrite_nanoparticles</t>
  </si>
  <si>
    <t>Sol-Gel auto-combustion, structural, photo-catalytic activity and UV-VIS study of Co1-xZnxFe2-yCeyO4 NPs (x = 0.3, y = 0.04)</t>
  </si>
  <si>
    <t>https://pubs.aip.org/aip/acp/article-abstract/2369/1/020222/669523/Sol-Gel-auto-combustion-structural-photo-catalytic?redirectedFrom=PDF</t>
  </si>
  <si>
    <t>Ceramic synthesis and X-ray diffraction characterization of copper ferrite</t>
  </si>
  <si>
    <t>https://pubs.aip.org/aip/acp/article-abstract/2369/1/020209/669599/Ceramic-synthesis-and-X-ray-diffraction?redirectedFrom=PDF</t>
  </si>
  <si>
    <t>Facile synthesis, structure and infrared properties of CoFe2O4 ferrite nanoparticles (CFN)</t>
  </si>
  <si>
    <t>https://pubs.aip.org/aip/acp/article-abstract/2369/1/020182/669488/Facile-synthesis-structure-and-infrared-properties?redirectedFrom=PDF</t>
  </si>
  <si>
    <t>Synthesis, structural and magnetic properties of NiFe1.96Al0.02Gd0.02O4 nanoparticles (NFAGO)</t>
  </si>
  <si>
    <t>https://pubs.aip.org/aip/acp/article-abstract/2369/1/020197/669348/Synthesis-structural-and-magnetic-properties-of?redirectedFrom=PDF</t>
  </si>
  <si>
    <t>Synthesis, TGA, structural, and infrared characterization Bafe12o19 nanoparticles</t>
  </si>
  <si>
    <t>https://pubs.aip.org/aip/acp/article-abstract/2369/1/020155/669499/Synthesis-TGA-structural-and-infrared?redirectedFrom=PDF</t>
  </si>
  <si>
    <t>Structural and magnetic properties of NiFe2O4 NPs using clove assisted green synthesis technique</t>
  </si>
  <si>
    <t>https://pubs.aip.org/aip/acp/article-abstract/2369/1/020185/669629/Structural-and-magnetic-properties-of-NiFe2O4-NPs?redirectedFrom=fulltext</t>
  </si>
  <si>
    <t>Glycine assisted sol-gel synthesis and structural analysis of CoFe2O4 nanoparticles</t>
  </si>
  <si>
    <t>https://pubs.aip.org/aip/acp/article-abstract/2369/1/020205/668964/Glycine-assisted-sol-gel-synthesis-and-structural?redirectedFrom=PDF</t>
  </si>
  <si>
    <t>Dr. MAHENDRA DASHRATH SHIRSAT</t>
  </si>
  <si>
    <t>A zinc-metal organic framework as a stable and efficient electrode for high-performance supercapacitor</t>
  </si>
  <si>
    <t>Materials Today: Proceedings - Elsevier</t>
  </si>
  <si>
    <t>A nickel -metal–organic framework for an efficient and stable electrode for the oxygen evolution reaction and energy storage</t>
  </si>
  <si>
    <t>Tailoring Of Poly(N-Methyl Pyrrole) Thin Film Surface With Au-Nanoparticles For Selective Sensing Of H2S</t>
  </si>
  <si>
    <t>1742-6588</t>
  </si>
  <si>
    <t>Journal of Physics: Conference Series - IOPscience</t>
  </si>
  <si>
    <t>Polymeric Nanofibriller Matrix on ITO Substrate for Flexible Chemical Sensing Applications</t>
  </si>
  <si>
    <t>http://www.bamu.ac.in/Portals/40/Backwardness%20of%20Indian%20Muslims.pdf</t>
  </si>
  <si>
    <t>Decolonization and Rise of Ethnic Sub-nationalism in India</t>
  </si>
  <si>
    <t>N.A</t>
  </si>
  <si>
    <t>Caste as DepriveSocial Dimensions of Agrarian Distress in India-</t>
  </si>
  <si>
    <t>UGC-CPEPA, Dept. of Economics, Sociology and Political Science, Dr. BAMU, Aurangabad</t>
  </si>
  <si>
    <t>Rethinking Caste: A Study of Social Dimensions of Agrarian Distress in Maharashtra</t>
  </si>
  <si>
    <t>Use of Social Media, Fake News during Elections-</t>
  </si>
  <si>
    <t>State Election Commission and Divisional Commissioner Office, Aurangabad</t>
  </si>
  <si>
    <t>Fact and Fiction in Muslim Electoral Behaviour</t>
  </si>
  <si>
    <t>Rajiv Gandhi Center for Contemporary Studies, University of Mumbai and CPDS</t>
  </si>
  <si>
    <t>Sarvajanik-Khajgi Bhagidari: Vikasachi Gurukilli</t>
  </si>
  <si>
    <t>Covid 19 and Forced Online Education: Students Perceptions of Service Quality and Satisfaction</t>
  </si>
  <si>
    <t>Mahatma Phule yanche Shikshanvishayak ani Karya</t>
  </si>
  <si>
    <t>Lingbhav samanata ani striyanchya prashnanvishyak Dr. Ambedkaranche vichar</t>
  </si>
  <si>
    <t>-Tourism Marketing</t>
  </si>
  <si>
    <t>Tourism Market Segmentation</t>
  </si>
  <si>
    <t>https://egyankosh.ac.in/handle/123456789/67273</t>
  </si>
  <si>
    <t>Target Market in Tourism</t>
  </si>
  <si>
    <t>https://egyankosh.ac.in/handle/123456789/67274</t>
  </si>
  <si>
    <t>Health, Wellness and Medical tourism</t>
  </si>
  <si>
    <t>https://egyankosh.ac.in/handle/123456789/69998</t>
  </si>
  <si>
    <t>Premchand Ke Afsano Mein Dalit Kirdar</t>
  </si>
  <si>
    <t>978-81-934451-1-2</t>
  </si>
  <si>
    <t>AMU</t>
  </si>
  <si>
    <t>URDU KE AHAM ROJ NAME</t>
  </si>
  <si>
    <t>RADIO KA AAGAZO iRTEQA</t>
  </si>
  <si>
    <t>Relevision Ki Mukhtalif Nashriyat</t>
  </si>
  <si>
    <t>KASRAT MEIN URDU ZABAN HAWALE SE</t>
  </si>
  <si>
    <t>Munshi Premchand ke Novel Mein Insaani Aqdar Aur aqlaqiyaat ki Tarjumani</t>
  </si>
  <si>
    <t>Morphological and Molecular study Stilecia sp.</t>
  </si>
  <si>
    <t>https://tiss.edu/uploads/files/Citizenship_of_Women_In_India-Uniform_Civil_Code.pdf</t>
  </si>
  <si>
    <t>Ms. nirmala shripatirao jadhav</t>
  </si>
  <si>
    <t>Patrayal of Caste, Class and Gender in Hindi Films : A special study of the film ‘Deewar’</t>
  </si>
  <si>
    <t>nil</t>
  </si>
  <si>
    <t>Savitribai phule pune university</t>
  </si>
  <si>
    <t>http://www.bamu.ac.in/Portals/15/WSC-AnnualReport-19-20.pdf</t>
  </si>
  <si>
    <t>Gender analysis of Marathi Language textbooks of Maharashtra state</t>
  </si>
  <si>
    <t>Indian Association for Women’s Studies (IAWS)</t>
  </si>
  <si>
    <t>https://feministlawarchives.pldindia.org/wp-content/uploads/XII-National-Conference-Feminism-Education-and-the-Transformation-of-Knowledges_Processes-and-Institutions-Lucknow-2008.pdf</t>
  </si>
  <si>
    <t>Women Journalists in Marathi News Channel</t>
  </si>
  <si>
    <t>Milind college of arts</t>
  </si>
  <si>
    <t>INTRODUCTION TO PROCEDURAL DEVELOPMENTS ASSOCIATED WITH TAXONOMY THEIR APPLICATION AND FUTURE DIRECTION OF DNA TECHNOLOGY FOR SPECIES IDENTIFICATION</t>
  </si>
  <si>
    <t>https://www.intechopen.com/online-first/functionalized-carbon-nanotubes-for-detection-of-volatile-or</t>
  </si>
  <si>
    <t>https://www.researchgate.net/publication/325044801_Glassy_carbon_electrode_modified_with_polyanilneethylenediamine_for_detection_of_copper_ions</t>
  </si>
  <si>
    <t>Controlled tailoring of SWNTs surface with An nanoparticles achieving highly sensitive room temperature for naphthalene</t>
  </si>
  <si>
    <t>Introductory Chapter: Introduction to Carbon Nanotubes-Redefining the World of Electronics</t>
  </si>
  <si>
    <t>https://www.intechopen.com/chapters/77983</t>
  </si>
  <si>
    <t>POLYMER COMPOSITES FOR SENSOR APPLICATIONS</t>
  </si>
  <si>
    <t>https://www.flipkart.com/horizon-corporate-social-responsibility/p/itmff8d77ee5c2f6</t>
  </si>
  <si>
    <t>https://www.flipkart.com/tribal-development-approaches-contemporary-policies/p/itm1e7556916d810?pid=9789393496362</t>
  </si>
  <si>
    <t>Dr. AsHOK VASANTRAO HUMBE</t>
  </si>
  <si>
    <t>On the structure and optical properties of nanocrystalline Ni0.65Zn0.35Fe2O4 ferrimagnet for diverse applications</t>
  </si>
  <si>
    <t>ISBN-978-93-87317-98-</t>
  </si>
  <si>
    <t>Dept of Basic and Applied Sciences, MGM University, Chhatrapati Sambhajinagar</t>
  </si>
  <si>
    <t>Professor W. K. Sarwade</t>
  </si>
  <si>
    <t>Production and Consumption Pattern of Bio Fertilizer Products in India</t>
  </si>
  <si>
    <t>Public Sector and Disinvestment Policy</t>
  </si>
  <si>
    <t>https://www.amazon.in/Public-Sector-and-Disinvestment-Policy/dp/9383342072#detailBullets_feature_div</t>
  </si>
  <si>
    <t>Sr.No.</t>
  </si>
  <si>
    <t>3.4.5</t>
  </si>
  <si>
    <t>Number of books and  chapters in edited volumes published per teacher during the last five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</si>
</sst>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rgb="FF444444"/>
      <name val="Arial"/>
      <family val="2"/>
    </font>
    <font>
      <u/>
      <sz val="11"/>
      <color theme="10"/>
      <name val="Calibri"/>
      <family val="2"/>
      <scheme val="minor"/>
    </font>
    <font>
      <u/>
      <sz val="10"/>
      <color theme="10"/>
      <name val="Calibri"/>
      <family val="2"/>
      <scheme val="minor"/>
    </font>
    <font>
      <sz val="10"/>
      <color theme="1"/>
      <name val="Calibri"/>
      <family val="2"/>
      <scheme val="minor"/>
    </font>
    <font>
      <sz val="10"/>
      <color theme="1"/>
      <name val="Arial"/>
      <family val="2"/>
    </font>
    <font>
      <sz val="11"/>
      <color theme="1"/>
      <name val="Calibri Light"/>
      <family val="1"/>
      <scheme val="major"/>
    </font>
    <font>
      <b/>
      <sz val="12"/>
      <color theme="1"/>
      <name val="Calibri Light"/>
      <family val="1"/>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1" xfId="0"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7" fillId="0" borderId="0" xfId="0" applyFont="1"/>
    <xf numFmtId="0" fontId="8" fillId="0" borderId="0" xfId="0" applyFont="1"/>
    <xf numFmtId="0" fontId="0" fillId="0" borderId="0" xfId="0" applyFill="1"/>
    <xf numFmtId="0" fontId="1" fillId="0" borderId="1" xfId="0" applyFont="1" applyFill="1" applyBorder="1" applyAlignment="1">
      <alignment horizontal="center" vertical="top" wrapText="1"/>
    </xf>
    <xf numFmtId="0" fontId="0" fillId="0" borderId="1" xfId="0" applyFill="1" applyBorder="1" applyAlignment="1">
      <alignment vertical="top" wrapText="1"/>
    </xf>
    <xf numFmtId="0" fontId="3" fillId="0" borderId="1" xfId="1" applyFill="1" applyBorder="1" applyAlignment="1">
      <alignment vertical="top" wrapText="1"/>
    </xf>
    <xf numFmtId="0" fontId="3" fillId="0" borderId="1" xfId="1" applyFill="1" applyBorder="1" applyAlignment="1">
      <alignment horizontal="center" vertical="top" wrapText="1"/>
    </xf>
    <xf numFmtId="0" fontId="3" fillId="0" borderId="0" xfId="1" applyFill="1"/>
    <xf numFmtId="0" fontId="0" fillId="0" borderId="1" xfId="0" applyFont="1" applyFill="1" applyBorder="1" applyAlignment="1">
      <alignment vertical="top" wrapText="1"/>
    </xf>
    <xf numFmtId="0" fontId="4" fillId="0" borderId="1" xfId="1" applyFont="1" applyFill="1" applyBorder="1" applyAlignment="1">
      <alignment horizontal="center" vertical="top" wrapText="1"/>
    </xf>
    <xf numFmtId="0" fontId="2" fillId="0" borderId="1" xfId="0" applyFont="1" applyFill="1" applyBorder="1" applyAlignment="1">
      <alignment horizontal="center" vertical="top" wrapText="1"/>
    </xf>
    <xf numFmtId="0" fontId="5" fillId="0" borderId="1" xfId="0" applyNumberFormat="1" applyFont="1" applyFill="1" applyBorder="1" applyAlignment="1" applyProtection="1">
      <alignment horizontal="right" vertical="top" wrapText="1"/>
    </xf>
    <xf numFmtId="0" fontId="6" fillId="0" borderId="1" xfId="0" applyFont="1" applyFill="1" applyBorder="1" applyAlignment="1">
      <alignment horizontal="center" vertical="top" wrapText="1"/>
    </xf>
    <xf numFmtId="0" fontId="3" fillId="0" borderId="1" xfId="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bamu.ac.in/naac_ssr/file_upload/43_54164_4528.pdf" TargetMode="External"/><Relationship Id="rId299" Type="http://schemas.openxmlformats.org/officeDocument/2006/relationships/hyperlink" Target="https://online.bamu.ac.in/naac_ssr/file_upload/46_47503_7983.pdf" TargetMode="External"/><Relationship Id="rId21" Type="http://schemas.openxmlformats.org/officeDocument/2006/relationships/hyperlink" Target="https://online.bamu.ac.in/naac_ssr/file_upload/26_53376_4688.pdf" TargetMode="External"/><Relationship Id="rId63" Type="http://schemas.openxmlformats.org/officeDocument/2006/relationships/hyperlink" Target="https://online.bamu.ac.in/naac_ssr/file_upload/39_56960_2331.pdf" TargetMode="External"/><Relationship Id="rId159" Type="http://schemas.openxmlformats.org/officeDocument/2006/relationships/hyperlink" Target="https://online.bamu.ac.in/naac_ssr/file_upload/58_58315_7279.pdf" TargetMode="External"/><Relationship Id="rId324" Type="http://schemas.openxmlformats.org/officeDocument/2006/relationships/hyperlink" Target="https://online.bamu.ac.in/naac_ssr/file_upload/73_44056_3742.pdf" TargetMode="External"/><Relationship Id="rId366" Type="http://schemas.openxmlformats.org/officeDocument/2006/relationships/hyperlink" Target="https://iopscience.iop.org/article/10.1088/1742-6596/1644/1/012058/meta" TargetMode="External"/><Relationship Id="rId170" Type="http://schemas.openxmlformats.org/officeDocument/2006/relationships/hyperlink" Target="https://online.bamu.ac.in/naac_ssr/file_upload/101_24832_6196.pdf" TargetMode="External"/><Relationship Id="rId226" Type="http://schemas.openxmlformats.org/officeDocument/2006/relationships/hyperlink" Target="https://online.bamu.ac.in/naac_ssr/file_upload/40_55402_7433.pdf" TargetMode="External"/><Relationship Id="rId433" Type="http://schemas.openxmlformats.org/officeDocument/2006/relationships/hyperlink" Target="http://109.73.164.202/~bamuin/naac-2024/DVV%20Compliances/3.4.5%20-%20Criteria%20III/Supporting%20Documents/" TargetMode="External"/><Relationship Id="rId268" Type="http://schemas.openxmlformats.org/officeDocument/2006/relationships/hyperlink" Target="https://online.bamu.ac.in/naac_ssr/file_upload/43_54074_2152.pdf" TargetMode="External"/><Relationship Id="rId475" Type="http://schemas.openxmlformats.org/officeDocument/2006/relationships/hyperlink" Target="http://109.73.164.202/~bamuin/naac-2024/DVV%20Compliances/3.4.5%20-%20Criteria%20III/Supporting%20Documents/" TargetMode="External"/><Relationship Id="rId32" Type="http://schemas.openxmlformats.org/officeDocument/2006/relationships/hyperlink" Target="https://online.bamu.ac.in/naac_ssr/file_upload/28_36720_5382.pdf" TargetMode="External"/><Relationship Id="rId74" Type="http://schemas.openxmlformats.org/officeDocument/2006/relationships/hyperlink" Target="https://online.bamu.ac.in/naac_ssr/file_upload/40_55406_1471.pdf" TargetMode="External"/><Relationship Id="rId128" Type="http://schemas.openxmlformats.org/officeDocument/2006/relationships/hyperlink" Target="https://online.bamu.ac.in/naac_ssr/file_upload/43_54460_2917.pdf" TargetMode="External"/><Relationship Id="rId335" Type="http://schemas.openxmlformats.org/officeDocument/2006/relationships/hyperlink" Target="https://www.flipkart.com/horizon-corporate-social-responsibility/p/itmff8d77ee5c2f6" TargetMode="External"/><Relationship Id="rId377" Type="http://schemas.openxmlformats.org/officeDocument/2006/relationships/hyperlink" Target="https://pubs.aip.org/aip/acp/article-abstract/2115/1/030522/797765/Investigations-of-structural-magnetic-and?redirectedFrom=fulltext" TargetMode="External"/><Relationship Id="rId500" Type="http://schemas.openxmlformats.org/officeDocument/2006/relationships/hyperlink" Target="http://109.73.164.202/~bamuin/naac-2024/DVV%20Compliances/3.4.5%20-%20Criteria%20III/Supporting%20Documents/" TargetMode="External"/><Relationship Id="rId5" Type="http://schemas.openxmlformats.org/officeDocument/2006/relationships/hyperlink" Target="https://online.bamu.ac.in/naac_ssr/file_upload/24_56583_9923.pdf" TargetMode="External"/><Relationship Id="rId181" Type="http://schemas.openxmlformats.org/officeDocument/2006/relationships/hyperlink" Target="https://online.bamu.ac.in/naac_ssr/file_upload/28_27553_2588.pdf" TargetMode="External"/><Relationship Id="rId237" Type="http://schemas.openxmlformats.org/officeDocument/2006/relationships/hyperlink" Target="https://online.bamu.ac.in/naac_ssr/file_upload/43_54437_5753.pdf" TargetMode="External"/><Relationship Id="rId402" Type="http://schemas.openxmlformats.org/officeDocument/2006/relationships/hyperlink" Target="https://www.researchgate.net/publication/340994872_Automatic_Traffic_Sign_Detection_and_Classification_of_Indian_Traffic_Signage's_Based_on_Multi-feature_Fusion" TargetMode="External"/><Relationship Id="rId279" Type="http://schemas.openxmlformats.org/officeDocument/2006/relationships/hyperlink" Target="https://online.bamu.ac.in/naac_ssr/file_upload/43_54383_7727.pdf" TargetMode="External"/><Relationship Id="rId444" Type="http://schemas.openxmlformats.org/officeDocument/2006/relationships/hyperlink" Target="http://109.73.164.202/~bamuin/naac-2024/DVV%20Compliances/3.4.5%20-%20Criteria%20III/Supporting%20Documents/" TargetMode="External"/><Relationship Id="rId486" Type="http://schemas.openxmlformats.org/officeDocument/2006/relationships/hyperlink" Target="http://109.73.164.202/~bamuin/naac-2024/DVV%20Compliances/3.4.5%20-%20Criteria%20III/Supporting%20Documents/" TargetMode="External"/><Relationship Id="rId43" Type="http://schemas.openxmlformats.org/officeDocument/2006/relationships/hyperlink" Target="https://online.bamu.ac.in/naac_ssr/file_upload/33_49700_9933.pdf" TargetMode="External"/><Relationship Id="rId139" Type="http://schemas.openxmlformats.org/officeDocument/2006/relationships/hyperlink" Target="https://online.bamu.ac.in/naac_ssr/file_upload/47_31698_3778.pdf" TargetMode="External"/><Relationship Id="rId290" Type="http://schemas.openxmlformats.org/officeDocument/2006/relationships/hyperlink" Target="https://online.bamu.ac.in/naac_ssr/file_upload/45_40679_3364.pdf" TargetMode="External"/><Relationship Id="rId304" Type="http://schemas.openxmlformats.org/officeDocument/2006/relationships/hyperlink" Target="https://online.bamu.ac.in/naac_ssr/file_upload/47_43885_5154.pdf" TargetMode="External"/><Relationship Id="rId346" Type="http://schemas.openxmlformats.org/officeDocument/2006/relationships/hyperlink" Target="https://egyankosh.ac.in/handle/123456789/67273" TargetMode="External"/><Relationship Id="rId388" Type="http://schemas.openxmlformats.org/officeDocument/2006/relationships/hyperlink" Target="https://pubs.aip.org/aip/acp/article-abstract/1953/1/030276/797474/Structural-and-multiferroic-properties-of-Ba2?redirectedFrom=fulltext" TargetMode="External"/><Relationship Id="rId85" Type="http://schemas.openxmlformats.org/officeDocument/2006/relationships/hyperlink" Target="https://online.bamu.ac.in/naac_ssr/file_upload/43_54048_2763.pdf" TargetMode="External"/><Relationship Id="rId150" Type="http://schemas.openxmlformats.org/officeDocument/2006/relationships/hyperlink" Target="https://online.bamu.ac.in/naac_ssr/file_upload/47_51537_4981.pdf" TargetMode="External"/><Relationship Id="rId192" Type="http://schemas.openxmlformats.org/officeDocument/2006/relationships/hyperlink" Target="https://www.ijmex.com/index.php/ijmex/article/view/854/395" TargetMode="External"/><Relationship Id="rId206" Type="http://schemas.openxmlformats.org/officeDocument/2006/relationships/hyperlink" Target="https://online.bamu.ac.in/naac_ssr/file_upload/31_27598_4879.pdf" TargetMode="External"/><Relationship Id="rId413" Type="http://schemas.openxmlformats.org/officeDocument/2006/relationships/hyperlink" Target="http://109.73.164.202/~bamuin/naac-2024/DVV%20Compliances/3.4.5%20-%20Criteria%20III/Supporting%20Documents/" TargetMode="External"/><Relationship Id="rId248" Type="http://schemas.openxmlformats.org/officeDocument/2006/relationships/hyperlink" Target="https://online.bamu.ac.in/naac_ssr/file_upload/43_54334_6311.pdf" TargetMode="External"/><Relationship Id="rId455" Type="http://schemas.openxmlformats.org/officeDocument/2006/relationships/hyperlink" Target="http://109.73.164.202/~bamuin/naac-2024/DVV%20Compliances/3.4.5%20-%20Criteria%20III/Supporting%20Documents/" TargetMode="External"/><Relationship Id="rId497" Type="http://schemas.openxmlformats.org/officeDocument/2006/relationships/hyperlink" Target="http://109.73.164.202/~bamuin/naac-2024/DVV%20Compliances/3.4.5%20-%20Criteria%20III/Supporting%20Documents/" TargetMode="External"/><Relationship Id="rId12" Type="http://schemas.openxmlformats.org/officeDocument/2006/relationships/hyperlink" Target="https://online.bamu.ac.in/naac_ssr/file_upload/24_47967_3113.pdf" TargetMode="External"/><Relationship Id="rId108" Type="http://schemas.openxmlformats.org/officeDocument/2006/relationships/hyperlink" Target="https://online.bamu.ac.in/naac_ssr/file_upload/43_53919_9589.pdf" TargetMode="External"/><Relationship Id="rId315" Type="http://schemas.openxmlformats.org/officeDocument/2006/relationships/hyperlink" Target="https://online.bamu.ac.in/naac_ssr/file_upload/54_48784_7365.pdf" TargetMode="External"/><Relationship Id="rId357" Type="http://schemas.openxmlformats.org/officeDocument/2006/relationships/hyperlink" Target="https://pubs.aip.org/aip/acp/article-abstract/2220/1/140003/890209/Microwave-dielectric-polarization-study-of-polar?redirectedFrom=fulltext" TargetMode="External"/><Relationship Id="rId54" Type="http://schemas.openxmlformats.org/officeDocument/2006/relationships/hyperlink" Target="https://online.bamu.ac.in/naac_ssr/file_upload/35_39394_7569.pdf" TargetMode="External"/><Relationship Id="rId96" Type="http://schemas.openxmlformats.org/officeDocument/2006/relationships/hyperlink" Target="https://online.bamu.ac.in/naac_ssr/file_upload/43_54453_1768.pdf" TargetMode="External"/><Relationship Id="rId161" Type="http://schemas.openxmlformats.org/officeDocument/2006/relationships/hyperlink" Target="https://online.bamu.ac.in/naac_ssr/file_upload/60_57372_4241.pdf" TargetMode="External"/><Relationship Id="rId217" Type="http://schemas.openxmlformats.org/officeDocument/2006/relationships/hyperlink" Target="https://online.bamu.ac.in/naac_ssr/file_upload/35_32743_5147.pdf" TargetMode="External"/><Relationship Id="rId399" Type="http://schemas.openxmlformats.org/officeDocument/2006/relationships/hyperlink" Target="https://pubs.aip.org/aip/acp/article-abstract/1953/1/020002/857964/Comparative-VOCs-sensing-performance-for?redirectedFrom=PDF" TargetMode="External"/><Relationship Id="rId259" Type="http://schemas.openxmlformats.org/officeDocument/2006/relationships/hyperlink" Target="https://online.bamu.ac.in/naac_ssr/file_upload/43_54190_4324.pdf" TargetMode="External"/><Relationship Id="rId424" Type="http://schemas.openxmlformats.org/officeDocument/2006/relationships/hyperlink" Target="http://109.73.164.202/~bamuin/naac-2024/DVV%20Compliances/3.4.5%20-%20Criteria%20III/Supporting%20Documents/" TargetMode="External"/><Relationship Id="rId466" Type="http://schemas.openxmlformats.org/officeDocument/2006/relationships/hyperlink" Target="http://109.73.164.202/~bamuin/naac-2024/DVV%20Compliances/3.4.5%20-%20Criteria%20III/Supporting%20Documents/" TargetMode="External"/><Relationship Id="rId23" Type="http://schemas.openxmlformats.org/officeDocument/2006/relationships/hyperlink" Target="https://online.bamu.ac.in/naac_ssr/file_upload/27_44600_2114.pdf" TargetMode="External"/><Relationship Id="rId119" Type="http://schemas.openxmlformats.org/officeDocument/2006/relationships/hyperlink" Target="https://online.bamu.ac.in/naac_ssr/file_upload/43_54166_5422.pdf" TargetMode="External"/><Relationship Id="rId270" Type="http://schemas.openxmlformats.org/officeDocument/2006/relationships/hyperlink" Target="https://online.bamu.ac.in/naac_ssr/file_upload/43_54162_4775.pdf" TargetMode="External"/><Relationship Id="rId326" Type="http://schemas.openxmlformats.org/officeDocument/2006/relationships/hyperlink" Target="https://online.bamu.ac.in/naac_ssr/file_upload/101_24801_3512.pdf" TargetMode="External"/><Relationship Id="rId65" Type="http://schemas.openxmlformats.org/officeDocument/2006/relationships/hyperlink" Target="https://online.bamu.ac.in/naac_ssr/file_upload/39_56981_8656.pdf" TargetMode="External"/><Relationship Id="rId130" Type="http://schemas.openxmlformats.org/officeDocument/2006/relationships/hyperlink" Target="https://online.bamu.ac.in/naac_ssr/file_upload/43_54522_8592.pdf" TargetMode="External"/><Relationship Id="rId368" Type="http://schemas.openxmlformats.org/officeDocument/2006/relationships/hyperlink" Target="https://pubs.aip.org/aip/acp/article-abstract/2265/1/030178/815366/Synthesis-of-nanocrystalline-nickel-ferrite?redirectedFrom=PDF" TargetMode="External"/><Relationship Id="rId172" Type="http://schemas.openxmlformats.org/officeDocument/2006/relationships/hyperlink" Target="https://online.bamu.ac.in/naac_ssr/file_upload/101_30882_7284.pdf" TargetMode="External"/><Relationship Id="rId228" Type="http://schemas.openxmlformats.org/officeDocument/2006/relationships/hyperlink" Target="https://online.bamu.ac.in/naac_ssr/file_upload/40_52248_3964.pdf" TargetMode="External"/><Relationship Id="rId435" Type="http://schemas.openxmlformats.org/officeDocument/2006/relationships/hyperlink" Target="http://109.73.164.202/~bamuin/naac-2024/DVV%20Compliances/3.4.5%20-%20Criteria%20III/Supporting%20Documents/" TargetMode="External"/><Relationship Id="rId477" Type="http://schemas.openxmlformats.org/officeDocument/2006/relationships/hyperlink" Target="http://109.73.164.202/~bamuin/naac-2024/DVV%20Compliances/3.4.5%20-%20Criteria%20III/Supporting%20Documents/" TargetMode="External"/><Relationship Id="rId281" Type="http://schemas.openxmlformats.org/officeDocument/2006/relationships/hyperlink" Target="https://online.bamu.ac.in/naac_ssr/file_upload/43_54395_6951.pdf" TargetMode="External"/><Relationship Id="rId337" Type="http://schemas.openxmlformats.org/officeDocument/2006/relationships/hyperlink" Target="https://pubs.aip.org/aip/acp/article-abstract/1953/1/100058/792539/Copolymers-of-polyaniline-and-poly-o-toluidine?redirectedFrom=fulltext" TargetMode="External"/><Relationship Id="rId502" Type="http://schemas.openxmlformats.org/officeDocument/2006/relationships/hyperlink" Target="http://109.73.164.202/~bamuin/naac-2024/DVV%20Compliances/3.4.5%20-%20Criteria%20III/Supporting%20Documents/" TargetMode="External"/><Relationship Id="rId34" Type="http://schemas.openxmlformats.org/officeDocument/2006/relationships/hyperlink" Target="https://online.bamu.ac.in/naac_ssr/file_upload/28_39818_2257.pdf" TargetMode="External"/><Relationship Id="rId76" Type="http://schemas.openxmlformats.org/officeDocument/2006/relationships/hyperlink" Target="https://online.bamu.ac.in/naac_ssr/file_upload/40_50573_9353.pdf" TargetMode="External"/><Relationship Id="rId141" Type="http://schemas.openxmlformats.org/officeDocument/2006/relationships/hyperlink" Target="https://online.bamu.ac.in/naac_ssr/file_upload/47_36008_1395.pdf" TargetMode="External"/><Relationship Id="rId379" Type="http://schemas.openxmlformats.org/officeDocument/2006/relationships/hyperlink" Target="https://inis.iaea.org/search/search.aspx?orig_q=RN:51098391" TargetMode="External"/><Relationship Id="rId7" Type="http://schemas.openxmlformats.org/officeDocument/2006/relationships/hyperlink" Target="https://online.bamu.ac.in/naac_ssr/file_upload/24_56589_2846.pdf" TargetMode="External"/><Relationship Id="rId183" Type="http://schemas.openxmlformats.org/officeDocument/2006/relationships/hyperlink" Target="https://online.bamu.ac.in/naac_ssr/file_upload/28_27740_4749.pdf" TargetMode="External"/><Relationship Id="rId239" Type="http://schemas.openxmlformats.org/officeDocument/2006/relationships/hyperlink" Target="https://online.bamu.ac.in/naac_ssr/file_upload/43_54047_2691.pdf" TargetMode="External"/><Relationship Id="rId390" Type="http://schemas.openxmlformats.org/officeDocument/2006/relationships/hyperlink" Target="https://pubs.aip.org/aip/acp/article-abstract/1953/1/030195/797127/Structural-morphological-and-magnetic-properties?redirectedFrom=fulltext" TargetMode="External"/><Relationship Id="rId404" Type="http://schemas.openxmlformats.org/officeDocument/2006/relationships/hyperlink" Target="https://link.springer.com/chapter/10.1007/978-981-16-0507-9_35" TargetMode="External"/><Relationship Id="rId446" Type="http://schemas.openxmlformats.org/officeDocument/2006/relationships/hyperlink" Target="http://109.73.164.202/~bamuin/naac-2024/DVV%20Compliances/3.4.5%20-%20Criteria%20III/Supporting%20Documents/" TargetMode="External"/><Relationship Id="rId250" Type="http://schemas.openxmlformats.org/officeDocument/2006/relationships/hyperlink" Target="https://online.bamu.ac.in/naac_ssr/file_upload/43_54351_8182.pdf" TargetMode="External"/><Relationship Id="rId292" Type="http://schemas.openxmlformats.org/officeDocument/2006/relationships/hyperlink" Target="https://online.bamu.ac.in/naac_ssr/file_upload/45_40709_1663.pdf" TargetMode="External"/><Relationship Id="rId306" Type="http://schemas.openxmlformats.org/officeDocument/2006/relationships/hyperlink" Target="https://online.bamu.ac.in/naac_ssr/file_upload/47_47343_8633.pdf" TargetMode="External"/><Relationship Id="rId488" Type="http://schemas.openxmlformats.org/officeDocument/2006/relationships/hyperlink" Target="http://109.73.164.202/~bamuin/naac-2024/DVV%20Compliances/3.4.5%20-%20Criteria%20III/Supporting%20Documents/" TargetMode="External"/><Relationship Id="rId45" Type="http://schemas.openxmlformats.org/officeDocument/2006/relationships/hyperlink" Target="https://online.bamu.ac.in/naac_ssr/file_upload/33_49746_2988.pdf" TargetMode="External"/><Relationship Id="rId87" Type="http://schemas.openxmlformats.org/officeDocument/2006/relationships/hyperlink" Target="https://online.bamu.ac.in/naac_ssr/file_upload/43_54050_7581.pdf" TargetMode="External"/><Relationship Id="rId110" Type="http://schemas.openxmlformats.org/officeDocument/2006/relationships/hyperlink" Target="https://online.bamu.ac.in/naac_ssr/file_upload/43_54069_6532.pdf" TargetMode="External"/><Relationship Id="rId348" Type="http://schemas.openxmlformats.org/officeDocument/2006/relationships/hyperlink" Target="https://pubs.aip.org/aip/acp/article-abstract/2369/1/020205/668964/Glycine-assisted-sol-gel-synthesis-and-structural?redirectedFrom=PDF" TargetMode="External"/><Relationship Id="rId152" Type="http://schemas.openxmlformats.org/officeDocument/2006/relationships/hyperlink" Target="https://online.bamu.ac.in/naac_ssr/file_upload/47_51540_8698.pdf" TargetMode="External"/><Relationship Id="rId173" Type="http://schemas.openxmlformats.org/officeDocument/2006/relationships/hyperlink" Target="https://online.bamu.ac.in/naac_ssr/file_upload/101_35859_4218.pdf" TargetMode="External"/><Relationship Id="rId194" Type="http://schemas.openxmlformats.org/officeDocument/2006/relationships/hyperlink" Target="https://www.taylorfrancis.com/chapters/edit/10.4324/9780429343698-1/introduction-bina-sengar-laurie-hovell-mcmillin" TargetMode="External"/><Relationship Id="rId208" Type="http://schemas.openxmlformats.org/officeDocument/2006/relationships/hyperlink" Target="https://online.bamu.ac.in/naac_ssr/file_upload/33_49700_9933.pdf" TargetMode="External"/><Relationship Id="rId229" Type="http://schemas.openxmlformats.org/officeDocument/2006/relationships/hyperlink" Target="https://online.bamu.ac.in/naac_ssr/file_upload/40_54252_9483.pdf" TargetMode="External"/><Relationship Id="rId380" Type="http://schemas.openxmlformats.org/officeDocument/2006/relationships/hyperlink" Target="https://inis.iaea.org/search/search.aspx?orig_q=RN:51098389" TargetMode="External"/><Relationship Id="rId415" Type="http://schemas.openxmlformats.org/officeDocument/2006/relationships/hyperlink" Target="http://109.73.164.202/~bamuin/naac-2024/DVV%20Compliances/3.4.5%20-%20Criteria%20III/Supporting%20Documents/" TargetMode="External"/><Relationship Id="rId436" Type="http://schemas.openxmlformats.org/officeDocument/2006/relationships/hyperlink" Target="http://109.73.164.202/~bamuin/naac-2024/DVV%20Compliances/3.4.5%20-%20Criteria%20III/Supporting%20Documents/" TargetMode="External"/><Relationship Id="rId457" Type="http://schemas.openxmlformats.org/officeDocument/2006/relationships/hyperlink" Target="http://109.73.164.202/~bamuin/naac-2024/DVV%20Compliances/3.4.5%20-%20Criteria%20III/Supporting%20Documents/" TargetMode="External"/><Relationship Id="rId240" Type="http://schemas.openxmlformats.org/officeDocument/2006/relationships/hyperlink" Target="https://online.bamu.ac.in/naac_ssr/file_upload/43_54048_2763.pdf" TargetMode="External"/><Relationship Id="rId261" Type="http://schemas.openxmlformats.org/officeDocument/2006/relationships/hyperlink" Target="https://online.bamu.ac.in/naac_ssr/file_upload/43_54431_1725.pdf" TargetMode="External"/><Relationship Id="rId478" Type="http://schemas.openxmlformats.org/officeDocument/2006/relationships/hyperlink" Target="http://109.73.164.202/~bamuin/naac-2024/DVV%20Compliances/3.4.5%20-%20Criteria%20III/Supporting%20Documents/" TargetMode="External"/><Relationship Id="rId499" Type="http://schemas.openxmlformats.org/officeDocument/2006/relationships/hyperlink" Target="http://109.73.164.202/~bamuin/naac-2024/DVV%20Compliances/3.4.5%20-%20Criteria%20III/Supporting%20Documents/" TargetMode="External"/><Relationship Id="rId14" Type="http://schemas.openxmlformats.org/officeDocument/2006/relationships/hyperlink" Target="https://online.bamu.ac.in/naac_ssr/file_upload/24_47971_3328.pdf" TargetMode="External"/><Relationship Id="rId35" Type="http://schemas.openxmlformats.org/officeDocument/2006/relationships/hyperlink" Target="https://online.bamu.ac.in/naac_ssr/file_upload/28_42692_4196.pdf" TargetMode="External"/><Relationship Id="rId56" Type="http://schemas.openxmlformats.org/officeDocument/2006/relationships/hyperlink" Target="https://online.bamu.ac.in/naac_ssr/file_upload/35_47990_4723.pdf" TargetMode="External"/><Relationship Id="rId77" Type="http://schemas.openxmlformats.org/officeDocument/2006/relationships/hyperlink" Target="https://online.bamu.ac.in/naac_ssr/file_upload/40_52751_8385.pdf" TargetMode="External"/><Relationship Id="rId100" Type="http://schemas.openxmlformats.org/officeDocument/2006/relationships/hyperlink" Target="https://online.bamu.ac.in/naac_ssr/file_upload/43_54060_1872.pdf" TargetMode="External"/><Relationship Id="rId282" Type="http://schemas.openxmlformats.org/officeDocument/2006/relationships/hyperlink" Target="https://online.bamu.ac.in/naac_ssr/file_upload/43_54413_5144.pdf" TargetMode="External"/><Relationship Id="rId317" Type="http://schemas.openxmlformats.org/officeDocument/2006/relationships/hyperlink" Target="https://online.bamu.ac.in/naac_ssr/file_upload/54_48793_9777.pdf" TargetMode="External"/><Relationship Id="rId338" Type="http://schemas.openxmlformats.org/officeDocument/2006/relationships/hyperlink" Target="https://pubs.aip.org/aip/acp/article-abstract/1953/1/100070/792319/Spectroscopic-investigations-upon-100MeV-oxygen?redirectedFrom=fulltext" TargetMode="External"/><Relationship Id="rId359" Type="http://schemas.openxmlformats.org/officeDocument/2006/relationships/hyperlink" Target="https://iopscience.iop.org/article/10.1088/1742-6596/1644/1/012008/pdf" TargetMode="External"/><Relationship Id="rId503" Type="http://schemas.openxmlformats.org/officeDocument/2006/relationships/hyperlink" Target="http://109.73.164.202/~bamuin/naac-2024/DVV%20Compliances/3.4.5%20-%20Criteria%20III/Supporting%20Documents/" TargetMode="External"/><Relationship Id="rId8" Type="http://schemas.openxmlformats.org/officeDocument/2006/relationships/hyperlink" Target="https://online.bamu.ac.in/naac_ssr/file_upload/24_56602_1799.pdf" TargetMode="External"/><Relationship Id="rId98" Type="http://schemas.openxmlformats.org/officeDocument/2006/relationships/hyperlink" Target="https://online.bamu.ac.in/naac_ssr/file_upload/43_54479_1748.pdf" TargetMode="External"/><Relationship Id="rId121" Type="http://schemas.openxmlformats.org/officeDocument/2006/relationships/hyperlink" Target="https://online.bamu.ac.in/naac_ssr/file_upload/43_54359_1487.pdf" TargetMode="External"/><Relationship Id="rId142" Type="http://schemas.openxmlformats.org/officeDocument/2006/relationships/hyperlink" Target="https://online.bamu.ac.in/naac_ssr/file_upload/47_36017_5517.pdf" TargetMode="External"/><Relationship Id="rId163" Type="http://schemas.openxmlformats.org/officeDocument/2006/relationships/hyperlink" Target="https://online.bamu.ac.in/naac_ssr/file_upload/62_33168_9191.pdf" TargetMode="External"/><Relationship Id="rId184" Type="http://schemas.openxmlformats.org/officeDocument/2006/relationships/hyperlink" Target="https://online.bamu.ac.in/naac_ssr/file_upload/28_32878_8989.pdf" TargetMode="External"/><Relationship Id="rId219" Type="http://schemas.openxmlformats.org/officeDocument/2006/relationships/hyperlink" Target="https://online.bamu.ac.in/naac_ssr/file_upload/36_51530_7582.pdf" TargetMode="External"/><Relationship Id="rId370" Type="http://schemas.openxmlformats.org/officeDocument/2006/relationships/hyperlink" Target="https://pubs.aip.org/aip/acp/article-abstract/2265/1/030326/726179/Influence-of-annealing-on-chemically-grown-PbS?redirectedFrom=PDF" TargetMode="External"/><Relationship Id="rId391" Type="http://schemas.openxmlformats.org/officeDocument/2006/relationships/hyperlink" Target="https://pubs.aip.org/aip/acp/article-abstract/1953/1/120057/793433/Structural-and-magnetic-properties-of?redirectedFrom=PDF" TargetMode="External"/><Relationship Id="rId405" Type="http://schemas.openxmlformats.org/officeDocument/2006/relationships/hyperlink" Target="https://link.springer.com/chapter/10.1007/978-981-16-0507-9_4" TargetMode="External"/><Relationship Id="rId426" Type="http://schemas.openxmlformats.org/officeDocument/2006/relationships/hyperlink" Target="http://109.73.164.202/~bamuin/naac-2024/DVV%20Compliances/3.4.5%20-%20Criteria%20III/Supporting%20Documents/" TargetMode="External"/><Relationship Id="rId447" Type="http://schemas.openxmlformats.org/officeDocument/2006/relationships/hyperlink" Target="http://109.73.164.202/~bamuin/naac-2024/DVV%20Compliances/3.4.5%20-%20Criteria%20III/Supporting%20Documents/" TargetMode="External"/><Relationship Id="rId230" Type="http://schemas.openxmlformats.org/officeDocument/2006/relationships/hyperlink" Target="https://online.bamu.ac.in/naac_ssr/file_upload/40_50573_9353.pdf" TargetMode="External"/><Relationship Id="rId251" Type="http://schemas.openxmlformats.org/officeDocument/2006/relationships/hyperlink" Target="https://online.bamu.ac.in/naac_ssr/file_upload/43_54453_1768.pdf" TargetMode="External"/><Relationship Id="rId468" Type="http://schemas.openxmlformats.org/officeDocument/2006/relationships/hyperlink" Target="http://109.73.164.202/~bamuin/naac-2024/DVV%20Compliances/3.4.5%20-%20Criteria%20III/Supporting%20Documents/" TargetMode="External"/><Relationship Id="rId489" Type="http://schemas.openxmlformats.org/officeDocument/2006/relationships/hyperlink" Target="http://109.73.164.202/~bamuin/naac-2024/DVV%20Compliances/3.4.5%20-%20Criteria%20III/Supporting%20Documents/" TargetMode="External"/><Relationship Id="rId25" Type="http://schemas.openxmlformats.org/officeDocument/2006/relationships/hyperlink" Target="https://online.bamu.ac.in/naac_ssr/file_upload/28_33124_1879.pdf" TargetMode="External"/><Relationship Id="rId46" Type="http://schemas.openxmlformats.org/officeDocument/2006/relationships/hyperlink" Target="https://online.bamu.ac.in/naac_ssr/file_upload/33_49750_1867.pdf" TargetMode="External"/><Relationship Id="rId67" Type="http://schemas.openxmlformats.org/officeDocument/2006/relationships/hyperlink" Target="https://online.bamu.ac.in/naac_ssr/file_upload/39_56993_9632.pdf" TargetMode="External"/><Relationship Id="rId272" Type="http://schemas.openxmlformats.org/officeDocument/2006/relationships/hyperlink" Target="https://online.bamu.ac.in/naac_ssr/file_upload/43_54164_4528.pdf" TargetMode="External"/><Relationship Id="rId293" Type="http://schemas.openxmlformats.org/officeDocument/2006/relationships/hyperlink" Target="https://online.bamu.ac.in/naac_ssr/file_upload/45_40881_3647.pdf" TargetMode="External"/><Relationship Id="rId307" Type="http://schemas.openxmlformats.org/officeDocument/2006/relationships/hyperlink" Target="https://online.bamu.ac.in/naac_ssr/file_upload/48_38342_2288.pdf" TargetMode="External"/><Relationship Id="rId328" Type="http://schemas.openxmlformats.org/officeDocument/2006/relationships/hyperlink" Target="https://online.bamu.ac.in/naac_ssr/file_upload/101_24833_4619.pdf" TargetMode="External"/><Relationship Id="rId349" Type="http://schemas.openxmlformats.org/officeDocument/2006/relationships/hyperlink" Target="https://pubs.aip.org/aip/acp/article-abstract/2369/1/020185/669629/Structural-and-magnetic-properties-of-NiFe2O4-NPs?redirectedFrom=fulltext" TargetMode="External"/><Relationship Id="rId88" Type="http://schemas.openxmlformats.org/officeDocument/2006/relationships/hyperlink" Target="https://online.bamu.ac.in/naac_ssr/file_upload/43_54051_4836.pdf" TargetMode="External"/><Relationship Id="rId111" Type="http://schemas.openxmlformats.org/officeDocument/2006/relationships/hyperlink" Target="https://online.bamu.ac.in/naac_ssr/file_upload/43_54071_4756.pdf" TargetMode="External"/><Relationship Id="rId132" Type="http://schemas.openxmlformats.org/officeDocument/2006/relationships/hyperlink" Target="https://online.bamu.ac.in/naac_ssr/file_upload/45_25934_5398.pdf" TargetMode="External"/><Relationship Id="rId153" Type="http://schemas.openxmlformats.org/officeDocument/2006/relationships/hyperlink" Target="https://online.bamu.ac.in/naac_ssr/file_upload/48_38321_7276.pdf" TargetMode="External"/><Relationship Id="rId174" Type="http://schemas.openxmlformats.org/officeDocument/2006/relationships/hyperlink" Target="https://online.bamu.ac.in/naac_ssr/file_upload/101_46552_6366.pdf" TargetMode="External"/><Relationship Id="rId195" Type="http://schemas.openxmlformats.org/officeDocument/2006/relationships/hyperlink" Target="https://www.google.com/url?sa=t&amp;source=web&amp;rct=j&amp;opi=89978449&amp;url=https://nopr.niscpr.res.in/bitstream/123456789/44203/1/IJPAP%252056%25284%2529%2520294-300.pdf&amp;ved=2ahUKEwiO3Jqc29uGAxWGZvUHHZouCsAQFnoECA8QAQ&amp;usg=AOvVaw0uJINNaSvrr_Hi6MErdSoQ" TargetMode="External"/><Relationship Id="rId209" Type="http://schemas.openxmlformats.org/officeDocument/2006/relationships/hyperlink" Target="https://online.bamu.ac.in/naac_ssr/file_upload/33_49745_3262.pdf" TargetMode="External"/><Relationship Id="rId360" Type="http://schemas.openxmlformats.org/officeDocument/2006/relationships/hyperlink" Target="https://iopscience.iop.org/article/10.1088/1742-6596/1644/1/012007/pdf" TargetMode="External"/><Relationship Id="rId381" Type="http://schemas.openxmlformats.org/officeDocument/2006/relationships/hyperlink" Target="https://pubs.aip.org/aip/acp/article-abstract/1953/1/030183/817952/Preparation-and-study-of-Ni7-swift-heavy-ions?redirectedFrom=PDF" TargetMode="External"/><Relationship Id="rId416" Type="http://schemas.openxmlformats.org/officeDocument/2006/relationships/hyperlink" Target="http://109.73.164.202/~bamuin/naac-2024/DVV%20Compliances/3.4.5%20-%20Criteria%20III/Supporting%20Documents/" TargetMode="External"/><Relationship Id="rId220" Type="http://schemas.openxmlformats.org/officeDocument/2006/relationships/hyperlink" Target="https://online.bamu.ac.in/naac_ssr/file_upload/39_52147_6333.pdf" TargetMode="External"/><Relationship Id="rId241" Type="http://schemas.openxmlformats.org/officeDocument/2006/relationships/hyperlink" Target="https://online.bamu.ac.in/naac_ssr/file_upload/43_54049_7789.pdf" TargetMode="External"/><Relationship Id="rId437" Type="http://schemas.openxmlformats.org/officeDocument/2006/relationships/hyperlink" Target="http://109.73.164.202/~bamuin/naac-2024/DVV%20Compliances/3.4.5%20-%20Criteria%20III/Supporting%20Documents/" TargetMode="External"/><Relationship Id="rId458" Type="http://schemas.openxmlformats.org/officeDocument/2006/relationships/hyperlink" Target="http://109.73.164.202/~bamuin/naac-2024/DVV%20Compliances/3.4.5%20-%20Criteria%20III/Supporting%20Documents/" TargetMode="External"/><Relationship Id="rId479" Type="http://schemas.openxmlformats.org/officeDocument/2006/relationships/hyperlink" Target="http://109.73.164.202/~bamuin/naac-2024/DVV%20Compliances/3.4.5%20-%20Criteria%20III/Supporting%20Documents/" TargetMode="External"/><Relationship Id="rId15" Type="http://schemas.openxmlformats.org/officeDocument/2006/relationships/hyperlink" Target="https://online.bamu.ac.in/naac_ssr/file_upload/24_48021_3583.pdf" TargetMode="External"/><Relationship Id="rId36" Type="http://schemas.openxmlformats.org/officeDocument/2006/relationships/hyperlink" Target="https://online.bamu.ac.in/naac_ssr/file_upload/30_33406_8354.pdf" TargetMode="External"/><Relationship Id="rId57" Type="http://schemas.openxmlformats.org/officeDocument/2006/relationships/hyperlink" Target="https://online.bamu.ac.in/naac_ssr/file_upload/35_47997_2969.pdf" TargetMode="External"/><Relationship Id="rId262" Type="http://schemas.openxmlformats.org/officeDocument/2006/relationships/hyperlink" Target="https://online.bamu.ac.in/naac_ssr/file_upload/43_54446_4575.pdf" TargetMode="External"/><Relationship Id="rId283" Type="http://schemas.openxmlformats.org/officeDocument/2006/relationships/hyperlink" Target="https://online.bamu.ac.in/naac_ssr/file_upload/43_54460_2917.pdf" TargetMode="External"/><Relationship Id="rId318" Type="http://schemas.openxmlformats.org/officeDocument/2006/relationships/hyperlink" Target="https://online.bamu.ac.in/naac_ssr/file_upload/54_48795_6247.pdf" TargetMode="External"/><Relationship Id="rId339" Type="http://schemas.openxmlformats.org/officeDocument/2006/relationships/hyperlink" Target="https://www.researchgate.net/publication/325044801_Glassy_carbon_electrode_modified_with_polyanilneethylenediamine_for_detection_of_copper_ions" TargetMode="External"/><Relationship Id="rId490" Type="http://schemas.openxmlformats.org/officeDocument/2006/relationships/hyperlink" Target="http://109.73.164.202/~bamuin/naac-2024/DVV%20Compliances/3.4.5%20-%20Criteria%20III/Supporting%20Documents/" TargetMode="External"/><Relationship Id="rId504" Type="http://schemas.openxmlformats.org/officeDocument/2006/relationships/hyperlink" Target="http://109.73.164.202/~bamuin/naac-2024/DVV%20Compliances/3.4.5%20-%20Criteria%20III/Supporting%20Documents/" TargetMode="External"/><Relationship Id="rId78" Type="http://schemas.openxmlformats.org/officeDocument/2006/relationships/hyperlink" Target="https://online.bamu.ac.in/naac_ssr/file_upload/43_54407_9816.pdf" TargetMode="External"/><Relationship Id="rId99" Type="http://schemas.openxmlformats.org/officeDocument/2006/relationships/hyperlink" Target="https://online.bamu.ac.in/naac_ssr/file_upload/43_54059_5161.pdf" TargetMode="External"/><Relationship Id="rId101" Type="http://schemas.openxmlformats.org/officeDocument/2006/relationships/hyperlink" Target="https://online.bamu.ac.in/naac_ssr/file_upload/43_54061_9313.pdf" TargetMode="External"/><Relationship Id="rId122" Type="http://schemas.openxmlformats.org/officeDocument/2006/relationships/hyperlink" Target="https://online.bamu.ac.in/naac_ssr/file_upload/43_54372_6533.pdf" TargetMode="External"/><Relationship Id="rId143" Type="http://schemas.openxmlformats.org/officeDocument/2006/relationships/hyperlink" Target="https://online.bamu.ac.in/naac_ssr/file_upload/47_36020_6665.pdf" TargetMode="External"/><Relationship Id="rId164" Type="http://schemas.openxmlformats.org/officeDocument/2006/relationships/hyperlink" Target="https://online.bamu.ac.in/naac_ssr/file_upload/65_56055_3333.pdf" TargetMode="External"/><Relationship Id="rId185" Type="http://schemas.openxmlformats.org/officeDocument/2006/relationships/hyperlink" Target="https://online.bamu.ac.in/naac_ssr/file_upload/28_33124_1879.pdf" TargetMode="External"/><Relationship Id="rId350" Type="http://schemas.openxmlformats.org/officeDocument/2006/relationships/hyperlink" Target="https://pubs.aip.org/aip/acp/article-abstract/2369/1/020155/669499/Synthesis-TGA-structural-and-infrared?redirectedFrom=PDF" TargetMode="External"/><Relationship Id="rId371" Type="http://schemas.openxmlformats.org/officeDocument/2006/relationships/hyperlink" Target="https://www.frontiersin.org/articles/10.3389/fmats.2020.00184/full" TargetMode="External"/><Relationship Id="rId406" Type="http://schemas.openxmlformats.org/officeDocument/2006/relationships/hyperlink" Target="https://link.springer.com/chapter/10.1007/978-981-16-0507-9_24" TargetMode="External"/><Relationship Id="rId9" Type="http://schemas.openxmlformats.org/officeDocument/2006/relationships/hyperlink" Target="https://online.bamu.ac.in/naac_ssr/file_upload/24_56606_9229.pdf" TargetMode="External"/><Relationship Id="rId210" Type="http://schemas.openxmlformats.org/officeDocument/2006/relationships/hyperlink" Target="https://online.bamu.ac.in/naac_ssr/file_upload/33_49746_2988.pdf" TargetMode="External"/><Relationship Id="rId392" Type="http://schemas.openxmlformats.org/officeDocument/2006/relationships/hyperlink" Target="https://pubs.aip.org/aip/acp/article-abstract/1953/1/030193/817773/Enhancement-in-surface-area-and-magnetization-of?redirectedFrom=fulltext" TargetMode="External"/><Relationship Id="rId427" Type="http://schemas.openxmlformats.org/officeDocument/2006/relationships/hyperlink" Target="http://109.73.164.202/~bamuin/naac-2024/DVV%20Compliances/3.4.5%20-%20Criteria%20III/Supporting%20Documents/" TargetMode="External"/><Relationship Id="rId448" Type="http://schemas.openxmlformats.org/officeDocument/2006/relationships/hyperlink" Target="http://109.73.164.202/~bamuin/naac-2024/DVV%20Compliances/3.4.5%20-%20Criteria%20III/Supporting%20Documents/" TargetMode="External"/><Relationship Id="rId469" Type="http://schemas.openxmlformats.org/officeDocument/2006/relationships/hyperlink" Target="http://109.73.164.202/~bamuin/naac-2024/DVV%20Compliances/3.4.5%20-%20Criteria%20III/Supporting%20Documents/" TargetMode="External"/><Relationship Id="rId26" Type="http://schemas.openxmlformats.org/officeDocument/2006/relationships/hyperlink" Target="https://online.bamu.ac.in/naac_ssr/file_upload/28_33127_8331.pdf" TargetMode="External"/><Relationship Id="rId231" Type="http://schemas.openxmlformats.org/officeDocument/2006/relationships/hyperlink" Target="https://online.bamu.ac.in/naac_ssr/file_upload/42_58888_9487.pdf" TargetMode="External"/><Relationship Id="rId252" Type="http://schemas.openxmlformats.org/officeDocument/2006/relationships/hyperlink" Target="https://online.bamu.ac.in/naac_ssr/file_upload/43_54478_4414.pdf" TargetMode="External"/><Relationship Id="rId273" Type="http://schemas.openxmlformats.org/officeDocument/2006/relationships/hyperlink" Target="https://online.bamu.ac.in/naac_ssr/file_upload/43_54165_4846.pdf" TargetMode="External"/><Relationship Id="rId294" Type="http://schemas.openxmlformats.org/officeDocument/2006/relationships/hyperlink" Target="https://online.bamu.ac.in/naac_ssr/file_upload/45_48256_3557.pdf" TargetMode="External"/><Relationship Id="rId308" Type="http://schemas.openxmlformats.org/officeDocument/2006/relationships/hyperlink" Target="https://online.bamu.ac.in/naac_ssr/file_upload/49_44409_6723.pdf" TargetMode="External"/><Relationship Id="rId329" Type="http://schemas.openxmlformats.org/officeDocument/2006/relationships/hyperlink" Target="https://online.bamu.ac.in/naac_ssr/file_upload/101_30882_7284.pdf" TargetMode="External"/><Relationship Id="rId480" Type="http://schemas.openxmlformats.org/officeDocument/2006/relationships/hyperlink" Target="http://109.73.164.202/~bamuin/naac-2024/DVV%20Compliances/3.4.5%20-%20Criteria%20III/Supporting%20Documents/" TargetMode="External"/><Relationship Id="rId47" Type="http://schemas.openxmlformats.org/officeDocument/2006/relationships/hyperlink" Target="https://online.bamu.ac.in/naac_ssr/file_upload/34_31446_4271.pdf" TargetMode="External"/><Relationship Id="rId68" Type="http://schemas.openxmlformats.org/officeDocument/2006/relationships/hyperlink" Target="https://online.bamu.ac.in/naac_ssr/file_upload/39_56997_1665.pdf" TargetMode="External"/><Relationship Id="rId89" Type="http://schemas.openxmlformats.org/officeDocument/2006/relationships/hyperlink" Target="https://online.bamu.ac.in/naac_ssr/file_upload/43_54227_9325.pdf" TargetMode="External"/><Relationship Id="rId112" Type="http://schemas.openxmlformats.org/officeDocument/2006/relationships/hyperlink" Target="https://online.bamu.ac.in/naac_ssr/file_upload/43_54072_3168.pdf" TargetMode="External"/><Relationship Id="rId133" Type="http://schemas.openxmlformats.org/officeDocument/2006/relationships/hyperlink" Target="https://online.bamu.ac.in/naac_ssr/file_upload/45_40858_3691.pdf" TargetMode="External"/><Relationship Id="rId154" Type="http://schemas.openxmlformats.org/officeDocument/2006/relationships/hyperlink" Target="https://online.bamu.ac.in/naac_ssr/file_upload/49_44409_6723.pdf" TargetMode="External"/><Relationship Id="rId175" Type="http://schemas.openxmlformats.org/officeDocument/2006/relationships/hyperlink" Target="https://online.bamu.ac.in/naac_ssr/file_upload/26_36279_6439.pdf" TargetMode="External"/><Relationship Id="rId340" Type="http://schemas.openxmlformats.org/officeDocument/2006/relationships/hyperlink" Target="http://www.bamu.ac.in/Portals/15/WSC-AnnualReport-19-20.pdf" TargetMode="External"/><Relationship Id="rId361" Type="http://schemas.openxmlformats.org/officeDocument/2006/relationships/hyperlink" Target="https://iopscience.iop.org/article/10.1088/1742-6596/1644/1/012010/pdf" TargetMode="External"/><Relationship Id="rId196" Type="http://schemas.openxmlformats.org/officeDocument/2006/relationships/hyperlink" Target="https://journals.iau.ir/article_662234.html" TargetMode="External"/><Relationship Id="rId200" Type="http://schemas.openxmlformats.org/officeDocument/2006/relationships/hyperlink" Target="https://ieeexplore.ieee.org/document/8723913" TargetMode="External"/><Relationship Id="rId382" Type="http://schemas.openxmlformats.org/officeDocument/2006/relationships/hyperlink" Target="https://pubs.aip.org/aip/acp/article-abstract/1953/1/100014/792267/Synthesis-and-characterization-of-structural?redirectedFrom=PDF" TargetMode="External"/><Relationship Id="rId417" Type="http://schemas.openxmlformats.org/officeDocument/2006/relationships/hyperlink" Target="http://109.73.164.202/~bamuin/naac-2024/DVV%20Compliances/3.4.5%20-%20Criteria%20III/Supporting%20Documents/" TargetMode="External"/><Relationship Id="rId438" Type="http://schemas.openxmlformats.org/officeDocument/2006/relationships/hyperlink" Target="http://109.73.164.202/~bamuin/naac-2024/DVV%20Compliances/3.4.5%20-%20Criteria%20III/Supporting%20Documents/" TargetMode="External"/><Relationship Id="rId459" Type="http://schemas.openxmlformats.org/officeDocument/2006/relationships/hyperlink" Target="http://109.73.164.202/~bamuin/naac-2024/DVV%20Compliances/3.4.5%20-%20Criteria%20III/Supporting%20Documents/" TargetMode="External"/><Relationship Id="rId16" Type="http://schemas.openxmlformats.org/officeDocument/2006/relationships/hyperlink" Target="https://online.bamu.ac.in/naac_ssr/file_upload/24_48035_2477.pdf" TargetMode="External"/><Relationship Id="rId221" Type="http://schemas.openxmlformats.org/officeDocument/2006/relationships/hyperlink" Target="https://online.bamu.ac.in/naac_ssr/file_upload/39_56993_9632.pdf" TargetMode="External"/><Relationship Id="rId242" Type="http://schemas.openxmlformats.org/officeDocument/2006/relationships/hyperlink" Target="https://online.bamu.ac.in/naac_ssr/file_upload/43_54050_7581.pdf" TargetMode="External"/><Relationship Id="rId263" Type="http://schemas.openxmlformats.org/officeDocument/2006/relationships/hyperlink" Target="https://online.bamu.ac.in/naac_ssr/file_upload/43_53919_9589.pdf" TargetMode="External"/><Relationship Id="rId284" Type="http://schemas.openxmlformats.org/officeDocument/2006/relationships/hyperlink" Target="https://online.bamu.ac.in/naac_ssr/file_upload/43_54502_8412.pdf" TargetMode="External"/><Relationship Id="rId319" Type="http://schemas.openxmlformats.org/officeDocument/2006/relationships/hyperlink" Target="https://online.bamu.ac.in/naac_ssr/file_upload/58_58315_7279.pdf" TargetMode="External"/><Relationship Id="rId470" Type="http://schemas.openxmlformats.org/officeDocument/2006/relationships/hyperlink" Target="http://109.73.164.202/~bamuin/naac-2024/DVV%20Compliances/3.4.5%20-%20Criteria%20III/Supporting%20Documents/" TargetMode="External"/><Relationship Id="rId491" Type="http://schemas.openxmlformats.org/officeDocument/2006/relationships/hyperlink" Target="http://109.73.164.202/~bamuin/naac-2024/DVV%20Compliances/3.4.5%20-%20Criteria%20III/Supporting%20Documents/" TargetMode="External"/><Relationship Id="rId505" Type="http://schemas.openxmlformats.org/officeDocument/2006/relationships/hyperlink" Target="http://109.73.164.202/~bamuin/naac-2024/DVV%20Compliances/3.4.5%20-%20Criteria%20III/Supporting%20Documents/" TargetMode="External"/><Relationship Id="rId37" Type="http://schemas.openxmlformats.org/officeDocument/2006/relationships/hyperlink" Target="https://online.bamu.ac.in/naac_ssr/file_upload/30_37002_1815.pdf" TargetMode="External"/><Relationship Id="rId58" Type="http://schemas.openxmlformats.org/officeDocument/2006/relationships/hyperlink" Target="https://online.bamu.ac.in/naac_ssr/file_upload/35_48000_5393.pdf" TargetMode="External"/><Relationship Id="rId79" Type="http://schemas.openxmlformats.org/officeDocument/2006/relationships/hyperlink" Target="https://online.bamu.ac.in/naac_ssr/file_upload/43_54432_3475.pdf" TargetMode="External"/><Relationship Id="rId102" Type="http://schemas.openxmlformats.org/officeDocument/2006/relationships/hyperlink" Target="https://online.bamu.ac.in/naac_ssr/file_upload/43_54062_6742.pdf" TargetMode="External"/><Relationship Id="rId123" Type="http://schemas.openxmlformats.org/officeDocument/2006/relationships/hyperlink" Target="https://online.bamu.ac.in/naac_ssr/file_upload/43_54378_4119.pdf" TargetMode="External"/><Relationship Id="rId144" Type="http://schemas.openxmlformats.org/officeDocument/2006/relationships/hyperlink" Target="https://online.bamu.ac.in/naac_ssr/file_upload/47_43844_5242.pdf" TargetMode="External"/><Relationship Id="rId330" Type="http://schemas.openxmlformats.org/officeDocument/2006/relationships/hyperlink" Target="https://online.bamu.ac.in/naac_ssr/file_upload/101_35859_4218.pdf" TargetMode="External"/><Relationship Id="rId90" Type="http://schemas.openxmlformats.org/officeDocument/2006/relationships/hyperlink" Target="https://online.bamu.ac.in/naac_ssr/file_upload/43_54230_8138.pdf" TargetMode="External"/><Relationship Id="rId165" Type="http://schemas.openxmlformats.org/officeDocument/2006/relationships/hyperlink" Target="https://online.bamu.ac.in/naac_ssr/file_upload/65_51884_9628.pdf" TargetMode="External"/><Relationship Id="rId186" Type="http://schemas.openxmlformats.org/officeDocument/2006/relationships/hyperlink" Target="https://online.bamu.ac.in/naac_ssr/file_upload/28_33127_8331.pdf" TargetMode="External"/><Relationship Id="rId351" Type="http://schemas.openxmlformats.org/officeDocument/2006/relationships/hyperlink" Target="https://pubs.aip.org/aip/acp/article-abstract/2369/1/020197/669348/Synthesis-structural-and-magnetic-properties-of?redirectedFrom=PDF" TargetMode="External"/><Relationship Id="rId372" Type="http://schemas.openxmlformats.org/officeDocument/2006/relationships/hyperlink" Target="https://iopscience.iop.org/article/10.1088/1742-6596/1644/1/012062/pdf" TargetMode="External"/><Relationship Id="rId393" Type="http://schemas.openxmlformats.org/officeDocument/2006/relationships/hyperlink" Target="https://pubs.aip.org/aip/acp/article-abstract/1942/1/050044/846937/Temperature-dependent-viscosity-of-cobalt-ferrite?redirectedFrom=PDF" TargetMode="External"/><Relationship Id="rId407" Type="http://schemas.openxmlformats.org/officeDocument/2006/relationships/hyperlink" Target="https://link.springer.com/chapter/10.1007/978-981-16-0507-9_14" TargetMode="External"/><Relationship Id="rId428" Type="http://schemas.openxmlformats.org/officeDocument/2006/relationships/hyperlink" Target="http://109.73.164.202/~bamuin/naac-2024/DVV%20Compliances/3.4.5%20-%20Criteria%20III/Supporting%20Documents/" TargetMode="External"/><Relationship Id="rId449" Type="http://schemas.openxmlformats.org/officeDocument/2006/relationships/hyperlink" Target="http://109.73.164.202/~bamuin/naac-2024/DVV%20Compliances/3.4.5%20-%20Criteria%20III/Supporting%20Documents/" TargetMode="External"/><Relationship Id="rId211" Type="http://schemas.openxmlformats.org/officeDocument/2006/relationships/hyperlink" Target="https://online.bamu.ac.in/naac_ssr/file_upload/33_49750_1867.pdf" TargetMode="External"/><Relationship Id="rId232" Type="http://schemas.openxmlformats.org/officeDocument/2006/relationships/hyperlink" Target="https://online.bamu.ac.in/naac_ssr/file_upload/42_50870_1833.pdf" TargetMode="External"/><Relationship Id="rId253" Type="http://schemas.openxmlformats.org/officeDocument/2006/relationships/hyperlink" Target="https://online.bamu.ac.in/naac_ssr/file_upload/43_54479_1748.pdf" TargetMode="External"/><Relationship Id="rId274" Type="http://schemas.openxmlformats.org/officeDocument/2006/relationships/hyperlink" Target="https://online.bamu.ac.in/naac_ssr/file_upload/43_54166_5422.pdf" TargetMode="External"/><Relationship Id="rId295" Type="http://schemas.openxmlformats.org/officeDocument/2006/relationships/hyperlink" Target="https://online.bamu.ac.in/naac_ssr/file_upload/45_52392_1727.pdf" TargetMode="External"/><Relationship Id="rId309" Type="http://schemas.openxmlformats.org/officeDocument/2006/relationships/hyperlink" Target="https://online.bamu.ac.in/naac_ssr/file_upload/54_40387_4616.pdf" TargetMode="External"/><Relationship Id="rId460" Type="http://schemas.openxmlformats.org/officeDocument/2006/relationships/hyperlink" Target="http://109.73.164.202/~bamuin/naac-2024/DVV%20Compliances/3.4.5%20-%20Criteria%20III/Supporting%20Documents/" TargetMode="External"/><Relationship Id="rId481" Type="http://schemas.openxmlformats.org/officeDocument/2006/relationships/hyperlink" Target="http://109.73.164.202/~bamuin/naac-2024/DVV%20Compliances/3.4.5%20-%20Criteria%20III/Supporting%20Documents/" TargetMode="External"/><Relationship Id="rId27" Type="http://schemas.openxmlformats.org/officeDocument/2006/relationships/hyperlink" Target="https://online.bamu.ac.in/naac_ssr/file_upload/28_33130_6691.pdf" TargetMode="External"/><Relationship Id="rId48" Type="http://schemas.openxmlformats.org/officeDocument/2006/relationships/hyperlink" Target="https://online.bamu.ac.in/naac_ssr/file_upload/34_31484_1752.pdf" TargetMode="External"/><Relationship Id="rId69" Type="http://schemas.openxmlformats.org/officeDocument/2006/relationships/hyperlink" Target="https://online.bamu.ac.in/naac_ssr/file_upload/39_57001_9567.pdf" TargetMode="External"/><Relationship Id="rId113" Type="http://schemas.openxmlformats.org/officeDocument/2006/relationships/hyperlink" Target="https://online.bamu.ac.in/naac_ssr/file_upload/43_54074_2152.pdf" TargetMode="External"/><Relationship Id="rId134" Type="http://schemas.openxmlformats.org/officeDocument/2006/relationships/hyperlink" Target="https://online.bamu.ac.in/naac_ssr/file_upload/46_26752_9994.pdf" TargetMode="External"/><Relationship Id="rId320" Type="http://schemas.openxmlformats.org/officeDocument/2006/relationships/hyperlink" Target="https://online.bamu.ac.in/naac_ssr/file_upload/60_54704_6175.pdf" TargetMode="External"/><Relationship Id="rId80" Type="http://schemas.openxmlformats.org/officeDocument/2006/relationships/hyperlink" Target="https://online.bamu.ac.in/naac_ssr/file_upload/43_54435_3296.pdf" TargetMode="External"/><Relationship Id="rId155" Type="http://schemas.openxmlformats.org/officeDocument/2006/relationships/hyperlink" Target="https://online.bamu.ac.in/naac_ssr/file_upload/53_25072_3726.pdf" TargetMode="External"/><Relationship Id="rId176" Type="http://schemas.openxmlformats.org/officeDocument/2006/relationships/hyperlink" Target="https://online.bamu.ac.in/naac_ssr/file_upload/26_36280_6363.pdf" TargetMode="External"/><Relationship Id="rId197" Type="http://schemas.openxmlformats.org/officeDocument/2006/relationships/hyperlink" Target="https://www.emis.de/journals/AMEN/2020/AMEN-190405.pdf" TargetMode="External"/><Relationship Id="rId341" Type="http://schemas.openxmlformats.org/officeDocument/2006/relationships/hyperlink" Target="https://feministlawarchives.pldindia.org/wp-content/uploads/XII-National-Conference-Feminism-Education-and-the-Transformation-of-Knowledges_Processes-and-Institutions-Lucknow-2008.pdf" TargetMode="External"/><Relationship Id="rId362" Type="http://schemas.openxmlformats.org/officeDocument/2006/relationships/hyperlink" Target="https://iopscience.iop.org/article/10.1088/1742-6596/1644/1/012012" TargetMode="External"/><Relationship Id="rId383" Type="http://schemas.openxmlformats.org/officeDocument/2006/relationships/hyperlink" Target="https://pubs.aip.org/aip/acp/article-abstract/1953/1/100072/792490/Synthesis-and-photosensor-study-of-as-grown-CuZnO?redirectedFrom=PDF" TargetMode="External"/><Relationship Id="rId418" Type="http://schemas.openxmlformats.org/officeDocument/2006/relationships/hyperlink" Target="http://109.73.164.202/~bamuin/naac-2024/DVV%20Compliances/3.4.5%20-%20Criteria%20III/Supporting%20Documents/" TargetMode="External"/><Relationship Id="rId439" Type="http://schemas.openxmlformats.org/officeDocument/2006/relationships/hyperlink" Target="http://109.73.164.202/~bamuin/naac-2024/DVV%20Compliances/3.4.5%20-%20Criteria%20III/Supporting%20Documents/" TargetMode="External"/><Relationship Id="rId201" Type="http://schemas.openxmlformats.org/officeDocument/2006/relationships/hyperlink" Target="https://online.bamu.ac.in/naac_ssr/file_upload/28_42692_4196.pdf" TargetMode="External"/><Relationship Id="rId222" Type="http://schemas.openxmlformats.org/officeDocument/2006/relationships/hyperlink" Target="https://online.bamu.ac.in/naac_ssr/file_upload/39_56997_1665.pdf" TargetMode="External"/><Relationship Id="rId243" Type="http://schemas.openxmlformats.org/officeDocument/2006/relationships/hyperlink" Target="https://online.bamu.ac.in/naac_ssr/file_upload/43_54051_4836.pdf" TargetMode="External"/><Relationship Id="rId264" Type="http://schemas.openxmlformats.org/officeDocument/2006/relationships/hyperlink" Target="https://online.bamu.ac.in/naac_ssr/file_upload/43_54068_4238.pdf" TargetMode="External"/><Relationship Id="rId285" Type="http://schemas.openxmlformats.org/officeDocument/2006/relationships/hyperlink" Target="https://online.bamu.ac.in/naac_ssr/file_upload/43_54522_8592.pdf" TargetMode="External"/><Relationship Id="rId450" Type="http://schemas.openxmlformats.org/officeDocument/2006/relationships/hyperlink" Target="http://109.73.164.202/~bamuin/naac-2024/DVV%20Compliances/3.4.5%20-%20Criteria%20III/Supporting%20Documents/" TargetMode="External"/><Relationship Id="rId471" Type="http://schemas.openxmlformats.org/officeDocument/2006/relationships/hyperlink" Target="http://109.73.164.202/~bamuin/naac-2024/DVV%20Compliances/3.4.5%20-%20Criteria%20III/Supporting%20Documents/" TargetMode="External"/><Relationship Id="rId506" Type="http://schemas.openxmlformats.org/officeDocument/2006/relationships/hyperlink" Target="http://109.73.164.202/~bamuin/naac-2024/DVV%20Compliances/3.4.5%20-%20Criteria%20III/Supporting%20Documents/" TargetMode="External"/><Relationship Id="rId17" Type="http://schemas.openxmlformats.org/officeDocument/2006/relationships/hyperlink" Target="https://online.bamu.ac.in/naac_ssr/file_upload/26_36279_6439.pdf" TargetMode="External"/><Relationship Id="rId38" Type="http://schemas.openxmlformats.org/officeDocument/2006/relationships/hyperlink" Target="https://online.bamu.ac.in/naac_ssr/file_upload/30_37003_5858.pdf" TargetMode="External"/><Relationship Id="rId59" Type="http://schemas.openxmlformats.org/officeDocument/2006/relationships/hyperlink" Target="https://online.bamu.ac.in/naac_ssr/file_upload/39_56954_8759.pdf" TargetMode="External"/><Relationship Id="rId103" Type="http://schemas.openxmlformats.org/officeDocument/2006/relationships/hyperlink" Target="https://online.bamu.ac.in/naac_ssr/file_upload/43_54174_8476.pdf" TargetMode="External"/><Relationship Id="rId124" Type="http://schemas.openxmlformats.org/officeDocument/2006/relationships/hyperlink" Target="https://online.bamu.ac.in/naac_ssr/file_upload/43_54383_7727.pdf" TargetMode="External"/><Relationship Id="rId310" Type="http://schemas.openxmlformats.org/officeDocument/2006/relationships/hyperlink" Target="https://online.bamu.ac.in/naac_ssr/file_upload/54_40394_7292.pdf" TargetMode="External"/><Relationship Id="rId492" Type="http://schemas.openxmlformats.org/officeDocument/2006/relationships/hyperlink" Target="http://109.73.164.202/~bamuin/naac-2024/DVV%20Compliances/3.4.5%20-%20Criteria%20III/Supporting%20Documents/" TargetMode="External"/><Relationship Id="rId70" Type="http://schemas.openxmlformats.org/officeDocument/2006/relationships/hyperlink" Target="https://online.bamu.ac.in/naac_ssr/file_upload/39_56970_9412.pdf" TargetMode="External"/><Relationship Id="rId91" Type="http://schemas.openxmlformats.org/officeDocument/2006/relationships/hyperlink" Target="https://online.bamu.ac.in/naac_ssr/file_upload/43_54268_2932.pdf" TargetMode="External"/><Relationship Id="rId145" Type="http://schemas.openxmlformats.org/officeDocument/2006/relationships/hyperlink" Target="https://online.bamu.ac.in/naac_ssr/file_upload/47_43846_7938.pdf" TargetMode="External"/><Relationship Id="rId166" Type="http://schemas.openxmlformats.org/officeDocument/2006/relationships/hyperlink" Target="https://online.bamu.ac.in/naac_ssr/file_upload/68_47260_3939.pdf" TargetMode="External"/><Relationship Id="rId187" Type="http://schemas.openxmlformats.org/officeDocument/2006/relationships/hyperlink" Target="https://online.bamu.ac.in/naac_ssr/file_upload/28_33130_6691.pdf" TargetMode="External"/><Relationship Id="rId331" Type="http://schemas.openxmlformats.org/officeDocument/2006/relationships/hyperlink" Target="https://online.bamu.ac.in/naac_ssr/file_upload/101_46552_6366.pdf" TargetMode="External"/><Relationship Id="rId352" Type="http://schemas.openxmlformats.org/officeDocument/2006/relationships/hyperlink" Target="https://pubs.aip.org/aip/acp/article-abstract/2369/1/020182/669488/Facile-synthesis-structure-and-infrared-properties?redirectedFrom=PDF" TargetMode="External"/><Relationship Id="rId373" Type="http://schemas.openxmlformats.org/officeDocument/2006/relationships/hyperlink" Target="https://www.proquest.com/openview/bb124cc5d92186476e1aff4eafb38c57/1.pdf?pq-origsite=gscholar&amp;cbl=4998668" TargetMode="External"/><Relationship Id="rId394" Type="http://schemas.openxmlformats.org/officeDocument/2006/relationships/hyperlink" Target="https://pubs.aip.org/aip/acp/article-abstract/1942/1/050067/979504/Symmetry-transition-via-tetravalent-impurity-and?redirectedFrom=fulltext" TargetMode="External"/><Relationship Id="rId408" Type="http://schemas.openxmlformats.org/officeDocument/2006/relationships/hyperlink" Target="https://www.sciencedirect.com/science/article/pii/S2666285X21000108" TargetMode="External"/><Relationship Id="rId429" Type="http://schemas.openxmlformats.org/officeDocument/2006/relationships/hyperlink" Target="http://109.73.164.202/~bamuin/naac-2024/DVV%20Compliances/3.4.5%20-%20Criteria%20III/Supporting%20Documents/" TargetMode="External"/><Relationship Id="rId1" Type="http://schemas.openxmlformats.org/officeDocument/2006/relationships/hyperlink" Target="https://online.bamu.ac.in/naac_ssr/file_upload/23_55967_3695.pdf" TargetMode="External"/><Relationship Id="rId212" Type="http://schemas.openxmlformats.org/officeDocument/2006/relationships/hyperlink" Target="https://online.bamu.ac.in/naac_ssr/file_upload/34_31446_4271.pdf" TargetMode="External"/><Relationship Id="rId233" Type="http://schemas.openxmlformats.org/officeDocument/2006/relationships/hyperlink" Target="https://online.bamu.ac.in/naac_ssr/file_upload/42_50871_2974.pdf" TargetMode="External"/><Relationship Id="rId254" Type="http://schemas.openxmlformats.org/officeDocument/2006/relationships/hyperlink" Target="https://online.bamu.ac.in/naac_ssr/file_upload/43_54059_5161.pdf" TargetMode="External"/><Relationship Id="rId440" Type="http://schemas.openxmlformats.org/officeDocument/2006/relationships/hyperlink" Target="http://109.73.164.202/~bamuin/naac-2024/DVV%20Compliances/3.4.5%20-%20Criteria%20III/Supporting%20Documents/" TargetMode="External"/><Relationship Id="rId28" Type="http://schemas.openxmlformats.org/officeDocument/2006/relationships/hyperlink" Target="https://online.bamu.ac.in/naac_ssr/file_upload/28_36549_7448.pdf" TargetMode="External"/><Relationship Id="rId49" Type="http://schemas.openxmlformats.org/officeDocument/2006/relationships/hyperlink" Target="https://online.bamu.ac.in/naac_ssr/file_upload/34_31558_2877.pdf" TargetMode="External"/><Relationship Id="rId114" Type="http://schemas.openxmlformats.org/officeDocument/2006/relationships/hyperlink" Target="https://online.bamu.ac.in/naac_ssr/file_upload/43_54080_6797.pdf" TargetMode="External"/><Relationship Id="rId275" Type="http://schemas.openxmlformats.org/officeDocument/2006/relationships/hyperlink" Target="https://online.bamu.ac.in/naac_ssr/file_upload/43_54172_4172.pdf" TargetMode="External"/><Relationship Id="rId296" Type="http://schemas.openxmlformats.org/officeDocument/2006/relationships/hyperlink" Target="https://online.bamu.ac.in/naac_ssr/file_upload/46_26752_9994.pdf" TargetMode="External"/><Relationship Id="rId300" Type="http://schemas.openxmlformats.org/officeDocument/2006/relationships/hyperlink" Target="https://online.bamu.ac.in/naac_ssr/file_upload/47_36020_6665.pdf" TargetMode="External"/><Relationship Id="rId461" Type="http://schemas.openxmlformats.org/officeDocument/2006/relationships/hyperlink" Target="http://109.73.164.202/~bamuin/naac-2024/DVV%20Compliances/3.4.5%20-%20Criteria%20III/Supporting%20Documents/" TargetMode="External"/><Relationship Id="rId482" Type="http://schemas.openxmlformats.org/officeDocument/2006/relationships/hyperlink" Target="http://109.73.164.202/~bamuin/naac-2024/DVV%20Compliances/3.4.5%20-%20Criteria%20III/Supporting%20Documents/" TargetMode="External"/><Relationship Id="rId60" Type="http://schemas.openxmlformats.org/officeDocument/2006/relationships/hyperlink" Target="https://online.bamu.ac.in/naac_ssr/file_upload/39_52147_6333.pdf" TargetMode="External"/><Relationship Id="rId81" Type="http://schemas.openxmlformats.org/officeDocument/2006/relationships/hyperlink" Target="https://online.bamu.ac.in/naac_ssr/file_upload/43_54436_6484.pdf" TargetMode="External"/><Relationship Id="rId135" Type="http://schemas.openxmlformats.org/officeDocument/2006/relationships/hyperlink" Target="https://online.bamu.ac.in/naac_ssr/file_upload/46_54775_8646.pdf" TargetMode="External"/><Relationship Id="rId156" Type="http://schemas.openxmlformats.org/officeDocument/2006/relationships/hyperlink" Target="https://online.bamu.ac.in/naac_ssr/file_upload/55_25635_5217.pdf" TargetMode="External"/><Relationship Id="rId177" Type="http://schemas.openxmlformats.org/officeDocument/2006/relationships/hyperlink" Target="https://online.bamu.ac.in/naac_ssr/file_upload/26_53345_2412.pdf" TargetMode="External"/><Relationship Id="rId198" Type="http://schemas.openxmlformats.org/officeDocument/2006/relationships/hyperlink" Target="https://notionpress.com/read/indian-english-literature-critical-insights" TargetMode="External"/><Relationship Id="rId321" Type="http://schemas.openxmlformats.org/officeDocument/2006/relationships/hyperlink" Target="https://online.bamu.ac.in/naac_ssr/file_upload/60_57372_4241.pdf" TargetMode="External"/><Relationship Id="rId342" Type="http://schemas.openxmlformats.org/officeDocument/2006/relationships/hyperlink" Target="http://www.bamu.ac.in/Portals/15/WSC-AnnualReport-19-20.pdf" TargetMode="External"/><Relationship Id="rId363" Type="http://schemas.openxmlformats.org/officeDocument/2006/relationships/hyperlink" Target="https://iopscience.iop.org/article/10.1088/1742-6596/1644/1/012022/pdf" TargetMode="External"/><Relationship Id="rId384" Type="http://schemas.openxmlformats.org/officeDocument/2006/relationships/hyperlink" Target="https://pubs.aip.org/aip/acp/article-abstract/1953/1/100072/792490/Synthesis-and-photosensor-study-of-as-grown-CuZnO?redirectedFrom=PDF" TargetMode="External"/><Relationship Id="rId419" Type="http://schemas.openxmlformats.org/officeDocument/2006/relationships/hyperlink" Target="http://109.73.164.202/~bamuin/naac-2024/DVV%20Compliances/3.4.5%20-%20Criteria%20III/Supporting%20Documents/" TargetMode="External"/><Relationship Id="rId202" Type="http://schemas.openxmlformats.org/officeDocument/2006/relationships/hyperlink" Target="https://online.bamu.ac.in/naac_ssr/file_upload/30_33407_9726.pdf" TargetMode="External"/><Relationship Id="rId223" Type="http://schemas.openxmlformats.org/officeDocument/2006/relationships/hyperlink" Target="https://online.bamu.ac.in/naac_ssr/file_upload/39_57001_9567.pdf" TargetMode="External"/><Relationship Id="rId244" Type="http://schemas.openxmlformats.org/officeDocument/2006/relationships/hyperlink" Target="https://online.bamu.ac.in/naac_ssr/file_upload/43_54227_9325.pdf" TargetMode="External"/><Relationship Id="rId430" Type="http://schemas.openxmlformats.org/officeDocument/2006/relationships/hyperlink" Target="http://109.73.164.202/~bamuin/naac-2024/DVV%20Compliances/3.4.5%20-%20Criteria%20III/Supporting%20Documents/" TargetMode="External"/><Relationship Id="rId18" Type="http://schemas.openxmlformats.org/officeDocument/2006/relationships/hyperlink" Target="https://online.bamu.ac.in/naac_ssr/file_upload/26_36280_6363.pdf" TargetMode="External"/><Relationship Id="rId39" Type="http://schemas.openxmlformats.org/officeDocument/2006/relationships/hyperlink" Target="https://online.bamu.ac.in/naac_ssr/file_upload/30_41081_9331.pdf" TargetMode="External"/><Relationship Id="rId265" Type="http://schemas.openxmlformats.org/officeDocument/2006/relationships/hyperlink" Target="https://online.bamu.ac.in/naac_ssr/file_upload/43_54069_6532.pdf" TargetMode="External"/><Relationship Id="rId286" Type="http://schemas.openxmlformats.org/officeDocument/2006/relationships/hyperlink" Target="https://online.bamu.ac.in/naac_ssr/file_upload/45_40876_5555.pdf" TargetMode="External"/><Relationship Id="rId451" Type="http://schemas.openxmlformats.org/officeDocument/2006/relationships/hyperlink" Target="http://109.73.164.202/~bamuin/naac-2024/DVV%20Compliances/3.4.5%20-%20Criteria%20III/Supporting%20Documents/" TargetMode="External"/><Relationship Id="rId472" Type="http://schemas.openxmlformats.org/officeDocument/2006/relationships/hyperlink" Target="http://109.73.164.202/~bamuin/naac-2024/DVV%20Compliances/3.4.5%20-%20Criteria%20III/Supporting%20Documents/" TargetMode="External"/><Relationship Id="rId493" Type="http://schemas.openxmlformats.org/officeDocument/2006/relationships/hyperlink" Target="http://109.73.164.202/~bamuin/naac-2024/DVV%20Compliances/3.4.5%20-%20Criteria%20III/Supporting%20Documents/" TargetMode="External"/><Relationship Id="rId507" Type="http://schemas.openxmlformats.org/officeDocument/2006/relationships/printerSettings" Target="../printerSettings/printerSettings1.bin"/><Relationship Id="rId50" Type="http://schemas.openxmlformats.org/officeDocument/2006/relationships/hyperlink" Target="https://online.bamu.ac.in/naac_ssr/file_upload/34_38621_6678.pdf" TargetMode="External"/><Relationship Id="rId104" Type="http://schemas.openxmlformats.org/officeDocument/2006/relationships/hyperlink" Target="https://online.bamu.ac.in/naac_ssr/file_upload/43_54190_4324.pdf" TargetMode="External"/><Relationship Id="rId125" Type="http://schemas.openxmlformats.org/officeDocument/2006/relationships/hyperlink" Target="https://online.bamu.ac.in/naac_ssr/file_upload/43_54391_1662.pdf" TargetMode="External"/><Relationship Id="rId146" Type="http://schemas.openxmlformats.org/officeDocument/2006/relationships/hyperlink" Target="https://online.bamu.ac.in/naac_ssr/file_upload/47_43847_6596.pdf" TargetMode="External"/><Relationship Id="rId167" Type="http://schemas.openxmlformats.org/officeDocument/2006/relationships/hyperlink" Target="https://online.bamu.ac.in/naac_ssr/file_upload/73_44056_3742.pdf" TargetMode="External"/><Relationship Id="rId188" Type="http://schemas.openxmlformats.org/officeDocument/2006/relationships/hyperlink" Target="https://online.bamu.ac.in/naac_ssr/file_upload/28_33209_8149.pdf" TargetMode="External"/><Relationship Id="rId311" Type="http://schemas.openxmlformats.org/officeDocument/2006/relationships/hyperlink" Target="https://online.bamu.ac.in/naac_ssr/file_upload/54_40400_2578.pdf" TargetMode="External"/><Relationship Id="rId332" Type="http://schemas.openxmlformats.org/officeDocument/2006/relationships/hyperlink" Target="https://online.bamu.ac.in/naac_ssr/file_upload/1030_53196_7121.pdf" TargetMode="External"/><Relationship Id="rId353" Type="http://schemas.openxmlformats.org/officeDocument/2006/relationships/hyperlink" Target="https://pubs.aip.org/aip/acp/article-abstract/2369/1/020209/669599/Ceramic-synthesis-and-X-ray-diffraction?redirectedFrom=PDF" TargetMode="External"/><Relationship Id="rId374" Type="http://schemas.openxmlformats.org/officeDocument/2006/relationships/hyperlink" Target="https://link.springer.com/article/10.1007/s40010-019-00636-1" TargetMode="External"/><Relationship Id="rId395" Type="http://schemas.openxmlformats.org/officeDocument/2006/relationships/hyperlink" Target="https://ieeexplore.ieee.org/document/8915320" TargetMode="External"/><Relationship Id="rId409" Type="http://schemas.openxmlformats.org/officeDocument/2006/relationships/hyperlink" Target="https://www.sciencedirect.com/science/article/pii/S2666285X21000029" TargetMode="External"/><Relationship Id="rId71" Type="http://schemas.openxmlformats.org/officeDocument/2006/relationships/hyperlink" Target="https://online.bamu.ac.in/naac_ssr/file_upload/39_57008_4486.pdf" TargetMode="External"/><Relationship Id="rId92" Type="http://schemas.openxmlformats.org/officeDocument/2006/relationships/hyperlink" Target="https://online.bamu.ac.in/naac_ssr/file_upload/43_54273_8864.pdf" TargetMode="External"/><Relationship Id="rId213" Type="http://schemas.openxmlformats.org/officeDocument/2006/relationships/hyperlink" Target="https://online.bamu.ac.in/naac_ssr/file_upload/34_31484_1752.pdf" TargetMode="External"/><Relationship Id="rId234" Type="http://schemas.openxmlformats.org/officeDocument/2006/relationships/hyperlink" Target="https://online.bamu.ac.in/naac_ssr/file_upload/43_54432_3475.pdf" TargetMode="External"/><Relationship Id="rId420" Type="http://schemas.openxmlformats.org/officeDocument/2006/relationships/hyperlink" Target="http://109.73.164.202/~bamuin/naac-2024/DVV%20Compliances/3.4.5%20-%20Criteria%20III/Supporting%20Documents/" TargetMode="External"/><Relationship Id="rId2" Type="http://schemas.openxmlformats.org/officeDocument/2006/relationships/hyperlink" Target="https://online.bamu.ac.in/naac_ssr/file_upload/24_56571_2713.pdf" TargetMode="External"/><Relationship Id="rId29" Type="http://schemas.openxmlformats.org/officeDocument/2006/relationships/hyperlink" Target="https://online.bamu.ac.in/naac_ssr/file_upload/28_36715_9658.pdf" TargetMode="External"/><Relationship Id="rId255" Type="http://schemas.openxmlformats.org/officeDocument/2006/relationships/hyperlink" Target="https://online.bamu.ac.in/naac_ssr/file_upload/43_54060_1872.pdf" TargetMode="External"/><Relationship Id="rId276" Type="http://schemas.openxmlformats.org/officeDocument/2006/relationships/hyperlink" Target="https://online.bamu.ac.in/naac_ssr/file_upload/43_54359_1487.pdf" TargetMode="External"/><Relationship Id="rId297" Type="http://schemas.openxmlformats.org/officeDocument/2006/relationships/hyperlink" Target="https://online.bamu.ac.in/naac_ssr/file_upload/46_54775_8646.pdf" TargetMode="External"/><Relationship Id="rId441" Type="http://schemas.openxmlformats.org/officeDocument/2006/relationships/hyperlink" Target="http://109.73.164.202/~bamuin/naac-2024/DVV%20Compliances/3.4.5%20-%20Criteria%20III/Supporting%20Documents/" TargetMode="External"/><Relationship Id="rId462" Type="http://schemas.openxmlformats.org/officeDocument/2006/relationships/hyperlink" Target="http://109.73.164.202/~bamuin/naac-2024/DVV%20Compliances/3.4.5%20-%20Criteria%20III/Supporting%20Documents/" TargetMode="External"/><Relationship Id="rId483" Type="http://schemas.openxmlformats.org/officeDocument/2006/relationships/hyperlink" Target="http://109.73.164.202/~bamuin/naac-2024/DVV%20Compliances/3.4.5%20-%20Criteria%20III/Supporting%20Documents/" TargetMode="External"/><Relationship Id="rId40" Type="http://schemas.openxmlformats.org/officeDocument/2006/relationships/hyperlink" Target="https://online.bamu.ac.in/naac_ssr/file_upload/30_47816_9133.pdf" TargetMode="External"/><Relationship Id="rId115" Type="http://schemas.openxmlformats.org/officeDocument/2006/relationships/hyperlink" Target="https://online.bamu.ac.in/naac_ssr/file_upload/43_54162_4775.pdf" TargetMode="External"/><Relationship Id="rId136" Type="http://schemas.openxmlformats.org/officeDocument/2006/relationships/hyperlink" Target="https://online.bamu.ac.in/naac_ssr/file_upload/46_54778_7715.pdf" TargetMode="External"/><Relationship Id="rId157" Type="http://schemas.openxmlformats.org/officeDocument/2006/relationships/hyperlink" Target="https://online.bamu.ac.in/naac_ssr/file_upload/55_25751_1563.pdf" TargetMode="External"/><Relationship Id="rId178" Type="http://schemas.openxmlformats.org/officeDocument/2006/relationships/hyperlink" Target="https://online.bamu.ac.in/naac_ssr/file_upload/26_53372_1328.pdf" TargetMode="External"/><Relationship Id="rId301" Type="http://schemas.openxmlformats.org/officeDocument/2006/relationships/hyperlink" Target="https://online.bamu.ac.in/naac_ssr/file_upload/47_43846_7938.pdf" TargetMode="External"/><Relationship Id="rId322" Type="http://schemas.openxmlformats.org/officeDocument/2006/relationships/hyperlink" Target="https://online.bamu.ac.in/naac_ssr/file_upload/62_33168_9191.pdf" TargetMode="External"/><Relationship Id="rId343" Type="http://schemas.openxmlformats.org/officeDocument/2006/relationships/hyperlink" Target="https://tiss.edu/uploads/files/Citizenship_of_Women_In_India-Uniform_Civil_Code.pdf" TargetMode="External"/><Relationship Id="rId364" Type="http://schemas.openxmlformats.org/officeDocument/2006/relationships/hyperlink" Target="https://iopscience.iop.org/article/10.1088/1742-6596/1644/1/012014" TargetMode="External"/><Relationship Id="rId61" Type="http://schemas.openxmlformats.org/officeDocument/2006/relationships/hyperlink" Target="https://online.bamu.ac.in/naac_ssr/file_upload/39_56951_3397.pdf" TargetMode="External"/><Relationship Id="rId82" Type="http://schemas.openxmlformats.org/officeDocument/2006/relationships/hyperlink" Target="https://online.bamu.ac.in/naac_ssr/file_upload/43_54437_5753.pdf" TargetMode="External"/><Relationship Id="rId199" Type="http://schemas.openxmlformats.org/officeDocument/2006/relationships/hyperlink" Target="https://www.neliti.com/publications/321959/dharmaraj-k-veer-and-shivaji-sontakke-advancement-and-challenges-for-college-lib" TargetMode="External"/><Relationship Id="rId203" Type="http://schemas.openxmlformats.org/officeDocument/2006/relationships/hyperlink" Target="https://online.bamu.ac.in/naac_ssr/file_upload/30_37002_1815.pdf" TargetMode="External"/><Relationship Id="rId385" Type="http://schemas.openxmlformats.org/officeDocument/2006/relationships/hyperlink" Target="https://ui.adsabs.harvard.edu/abs/2018AIPC.1953j0038M/abstract" TargetMode="External"/><Relationship Id="rId19" Type="http://schemas.openxmlformats.org/officeDocument/2006/relationships/hyperlink" Target="https://online.bamu.ac.in/naac_ssr/file_upload/26_53345_2412.pdf" TargetMode="External"/><Relationship Id="rId224" Type="http://schemas.openxmlformats.org/officeDocument/2006/relationships/hyperlink" Target="https://online.bamu.ac.in/naac_ssr/file_upload/39_57008_4486.pdf" TargetMode="External"/><Relationship Id="rId245" Type="http://schemas.openxmlformats.org/officeDocument/2006/relationships/hyperlink" Target="https://online.bamu.ac.in/naac_ssr/file_upload/43_54230_8138.pdf" TargetMode="External"/><Relationship Id="rId266" Type="http://schemas.openxmlformats.org/officeDocument/2006/relationships/hyperlink" Target="https://online.bamu.ac.in/naac_ssr/file_upload/43_54071_4756.pdf" TargetMode="External"/><Relationship Id="rId287" Type="http://schemas.openxmlformats.org/officeDocument/2006/relationships/hyperlink" Target="https://online.bamu.ac.in/naac_ssr/file_upload/45_40201_7421.pdf" TargetMode="External"/><Relationship Id="rId410" Type="http://schemas.openxmlformats.org/officeDocument/2006/relationships/hyperlink" Target="https://online.bamu.ac.in/naac_ssr/file_upload/30_41081_9331.pdf" TargetMode="External"/><Relationship Id="rId431" Type="http://schemas.openxmlformats.org/officeDocument/2006/relationships/hyperlink" Target="http://109.73.164.202/~bamuin/naac-2024/DVV%20Compliances/3.4.5%20-%20Criteria%20III/Supporting%20Documents/" TargetMode="External"/><Relationship Id="rId452" Type="http://schemas.openxmlformats.org/officeDocument/2006/relationships/hyperlink" Target="http://109.73.164.202/~bamuin/naac-2024/DVV%20Compliances/3.4.5%20-%20Criteria%20III/Supporting%20Documents/" TargetMode="External"/><Relationship Id="rId473" Type="http://schemas.openxmlformats.org/officeDocument/2006/relationships/hyperlink" Target="http://109.73.164.202/~bamuin/naac-2024/DVV%20Compliances/3.4.5%20-%20Criteria%20III/Supporting%20Documents/" TargetMode="External"/><Relationship Id="rId494" Type="http://schemas.openxmlformats.org/officeDocument/2006/relationships/hyperlink" Target="http://109.73.164.202/~bamuin/naac-2024/DVV%20Compliances/3.4.5%20-%20Criteria%20III/Supporting%20Documents/" TargetMode="External"/><Relationship Id="rId30" Type="http://schemas.openxmlformats.org/officeDocument/2006/relationships/hyperlink" Target="https://online.bamu.ac.in/naac_ssr/file_upload/28_36718_9347.pdf" TargetMode="External"/><Relationship Id="rId105" Type="http://schemas.openxmlformats.org/officeDocument/2006/relationships/hyperlink" Target="https://online.bamu.ac.in/naac_ssr/file_upload/43_54209_3777.pdf" TargetMode="External"/><Relationship Id="rId126" Type="http://schemas.openxmlformats.org/officeDocument/2006/relationships/hyperlink" Target="https://online.bamu.ac.in/naac_ssr/file_upload/43_54395_6951.pdf" TargetMode="External"/><Relationship Id="rId147" Type="http://schemas.openxmlformats.org/officeDocument/2006/relationships/hyperlink" Target="https://online.bamu.ac.in/naac_ssr/file_upload/47_43849_5271.pdf" TargetMode="External"/><Relationship Id="rId168" Type="http://schemas.openxmlformats.org/officeDocument/2006/relationships/hyperlink" Target="https://online.bamu.ac.in/naac_ssr/file_upload/101_24777_8717.pdf" TargetMode="External"/><Relationship Id="rId312" Type="http://schemas.openxmlformats.org/officeDocument/2006/relationships/hyperlink" Target="https://online.bamu.ac.in/naac_ssr/file_upload/54_40402_7767.pdf" TargetMode="External"/><Relationship Id="rId333" Type="http://schemas.openxmlformats.org/officeDocument/2006/relationships/hyperlink" Target="https://www.amazon.in/Public-Sector-and-Disinvestment-Policy/dp/9383342072" TargetMode="External"/><Relationship Id="rId354" Type="http://schemas.openxmlformats.org/officeDocument/2006/relationships/hyperlink" Target="https://pubs.aip.org/aip/acp/article-abstract/2369/1/020222/669523/Sol-Gel-auto-combustion-structural-photo-catalytic?redirectedFrom=PDF" TargetMode="External"/><Relationship Id="rId51" Type="http://schemas.openxmlformats.org/officeDocument/2006/relationships/hyperlink" Target="https://online.bamu.ac.in/naac_ssr/file_upload/34_38622_8862.pdf" TargetMode="External"/><Relationship Id="rId72" Type="http://schemas.openxmlformats.org/officeDocument/2006/relationships/hyperlink" Target="https://online.bamu.ac.in/naac_ssr/file_upload/39_57013_5892.pdf" TargetMode="External"/><Relationship Id="rId93" Type="http://schemas.openxmlformats.org/officeDocument/2006/relationships/hyperlink" Target="https://online.bamu.ac.in/naac_ssr/file_upload/43_54334_6311.pdf" TargetMode="External"/><Relationship Id="rId189" Type="http://schemas.openxmlformats.org/officeDocument/2006/relationships/hyperlink" Target="https://online.bamu.ac.in/naac_ssr/file_upload/28_36549_7448.pdf" TargetMode="External"/><Relationship Id="rId375" Type="http://schemas.openxmlformats.org/officeDocument/2006/relationships/hyperlink" Target="https://pubs.aip.org/aip/acp/article-abstract/2115/1/030261/796256/Synthesis-of-sodium-silicate-based-aerogels-by?redirectedFrom=fulltext" TargetMode="External"/><Relationship Id="rId396" Type="http://schemas.openxmlformats.org/officeDocument/2006/relationships/hyperlink" Target="https://pubs.aip.org/aip/acp/article-abstract/1953/1/100070/792319/Spectroscopic-investigations-upon-100MeV-oxygen?redirectedFrom=fulltext" TargetMode="External"/><Relationship Id="rId3" Type="http://schemas.openxmlformats.org/officeDocument/2006/relationships/hyperlink" Target="https://online.bamu.ac.in/naac_ssr/file_upload/24_56577_5811.pdf" TargetMode="External"/><Relationship Id="rId214" Type="http://schemas.openxmlformats.org/officeDocument/2006/relationships/hyperlink" Target="https://online.bamu.ac.in/naac_ssr/file_upload/34_31558_2877.pdf" TargetMode="External"/><Relationship Id="rId235" Type="http://schemas.openxmlformats.org/officeDocument/2006/relationships/hyperlink" Target="https://online.bamu.ac.in/naac_ssr/file_upload/43_54435_3296.pdf" TargetMode="External"/><Relationship Id="rId256" Type="http://schemas.openxmlformats.org/officeDocument/2006/relationships/hyperlink" Target="https://online.bamu.ac.in/naac_ssr/file_upload/43_54061_9313.pdf" TargetMode="External"/><Relationship Id="rId277" Type="http://schemas.openxmlformats.org/officeDocument/2006/relationships/hyperlink" Target="https://online.bamu.ac.in/naac_ssr/file_upload/43_54372_6533.pdf" TargetMode="External"/><Relationship Id="rId298" Type="http://schemas.openxmlformats.org/officeDocument/2006/relationships/hyperlink" Target="https://online.bamu.ac.in/naac_ssr/file_upload/46_54778_7715.pdf" TargetMode="External"/><Relationship Id="rId400" Type="http://schemas.openxmlformats.org/officeDocument/2006/relationships/hyperlink" Target="https://www.aimsjournal.org/uploads/78/13540_pdf.pdf" TargetMode="External"/><Relationship Id="rId421" Type="http://schemas.openxmlformats.org/officeDocument/2006/relationships/hyperlink" Target="http://109.73.164.202/~bamuin/naac-2024/DVV%20Compliances/3.4.5%20-%20Criteria%20III/Supporting%20Documents/" TargetMode="External"/><Relationship Id="rId442" Type="http://schemas.openxmlformats.org/officeDocument/2006/relationships/hyperlink" Target="http://109.73.164.202/~bamuin/naac-2024/DVV%20Compliances/3.4.5%20-%20Criteria%20III/Supporting%20Documents/" TargetMode="External"/><Relationship Id="rId463" Type="http://schemas.openxmlformats.org/officeDocument/2006/relationships/hyperlink" Target="http://109.73.164.202/~bamuin/naac-2024/DVV%20Compliances/3.4.5%20-%20Criteria%20III/Supporting%20Documents/" TargetMode="External"/><Relationship Id="rId484" Type="http://schemas.openxmlformats.org/officeDocument/2006/relationships/hyperlink" Target="http://109.73.164.202/~bamuin/naac-2024/DVV%20Compliances/3.4.5%20-%20Criteria%20III/Supporting%20Documents/" TargetMode="External"/><Relationship Id="rId116" Type="http://schemas.openxmlformats.org/officeDocument/2006/relationships/hyperlink" Target="https://online.bamu.ac.in/naac_ssr/file_upload/43_54163_7645.pdf" TargetMode="External"/><Relationship Id="rId137" Type="http://schemas.openxmlformats.org/officeDocument/2006/relationships/hyperlink" Target="https://online.bamu.ac.in/naac_ssr/file_upload/46_47501_5434.pdf" TargetMode="External"/><Relationship Id="rId158" Type="http://schemas.openxmlformats.org/officeDocument/2006/relationships/hyperlink" Target="https://online.bamu.ac.in/naac_ssr/file_upload/58_43057_2471.pdf" TargetMode="External"/><Relationship Id="rId302" Type="http://schemas.openxmlformats.org/officeDocument/2006/relationships/hyperlink" Target="https://online.bamu.ac.in/naac_ssr/file_upload/47_43847_6596.pdf" TargetMode="External"/><Relationship Id="rId323" Type="http://schemas.openxmlformats.org/officeDocument/2006/relationships/hyperlink" Target="https://online.bamu.ac.in/naac_ssr/file_upload/65_56055_3333.pdf" TargetMode="External"/><Relationship Id="rId344" Type="http://schemas.openxmlformats.org/officeDocument/2006/relationships/hyperlink" Target="https://egyankosh.ac.in/handle/123456789/69998" TargetMode="External"/><Relationship Id="rId20" Type="http://schemas.openxmlformats.org/officeDocument/2006/relationships/hyperlink" Target="https://online.bamu.ac.in/naac_ssr/file_upload/26_53372_1328.pdf" TargetMode="External"/><Relationship Id="rId41" Type="http://schemas.openxmlformats.org/officeDocument/2006/relationships/hyperlink" Target="https://online.bamu.ac.in/naac_ssr/file_upload/31_46564_5647.pdf" TargetMode="External"/><Relationship Id="rId62" Type="http://schemas.openxmlformats.org/officeDocument/2006/relationships/hyperlink" Target="https://online.bamu.ac.in/naac_ssr/file_upload/39_56952_6653.pdf" TargetMode="External"/><Relationship Id="rId83" Type="http://schemas.openxmlformats.org/officeDocument/2006/relationships/hyperlink" Target="https://online.bamu.ac.in/naac_ssr/file_upload/43_54440_9357.pdf" TargetMode="External"/><Relationship Id="rId179" Type="http://schemas.openxmlformats.org/officeDocument/2006/relationships/hyperlink" Target="https://online.bamu.ac.in/naac_ssr/file_upload/26_53376_4688.pdf" TargetMode="External"/><Relationship Id="rId365" Type="http://schemas.openxmlformats.org/officeDocument/2006/relationships/hyperlink" Target="https://iopscience.iop.org/article/10.1088/1742-6596/1644/1/012003/pdf" TargetMode="External"/><Relationship Id="rId386" Type="http://schemas.openxmlformats.org/officeDocument/2006/relationships/hyperlink" Target="https://pubs.aip.org/aip/acp/article-abstract/1953/1/100014/792267/Synthesis-and-characterization-of-structural?redirectedFrom=PDF" TargetMode="External"/><Relationship Id="rId190" Type="http://schemas.openxmlformats.org/officeDocument/2006/relationships/hyperlink" Target="https://ijngc.perpetualinnovation.net/index.php/ijngc/article/view/208" TargetMode="External"/><Relationship Id="rId204" Type="http://schemas.openxmlformats.org/officeDocument/2006/relationships/hyperlink" Target="https://online.bamu.ac.in/naac_ssr/file_upload/30_41081_9331.pdf" TargetMode="External"/><Relationship Id="rId225" Type="http://schemas.openxmlformats.org/officeDocument/2006/relationships/hyperlink" Target="https://online.bamu.ac.in/naac_ssr/file_upload/39_57013_5892.pdf" TargetMode="External"/><Relationship Id="rId246" Type="http://schemas.openxmlformats.org/officeDocument/2006/relationships/hyperlink" Target="https://online.bamu.ac.in/naac_ssr/file_upload/43_54268_2932.pdf" TargetMode="External"/><Relationship Id="rId267" Type="http://schemas.openxmlformats.org/officeDocument/2006/relationships/hyperlink" Target="https://online.bamu.ac.in/naac_ssr/file_upload/43_54072_3168.pdf" TargetMode="External"/><Relationship Id="rId288" Type="http://schemas.openxmlformats.org/officeDocument/2006/relationships/hyperlink" Target="https://online.bamu.ac.in/naac_ssr/file_upload/45_40246_8634.pdf" TargetMode="External"/><Relationship Id="rId411" Type="http://schemas.openxmlformats.org/officeDocument/2006/relationships/hyperlink" Target="https://www.flipkart.com/hi/hind-e-ratna-maluki-banjaran/p/itm84c989830ba8a" TargetMode="External"/><Relationship Id="rId432" Type="http://schemas.openxmlformats.org/officeDocument/2006/relationships/hyperlink" Target="http://109.73.164.202/~bamuin/naac-2024/DVV%20Compliances/3.4.5%20-%20Criteria%20III/Supporting%20Documents/" TargetMode="External"/><Relationship Id="rId453" Type="http://schemas.openxmlformats.org/officeDocument/2006/relationships/hyperlink" Target="http://109.73.164.202/~bamuin/naac-2024/DVV%20Compliances/3.4.5%20-%20Criteria%20III/Supporting%20Documents/" TargetMode="External"/><Relationship Id="rId474" Type="http://schemas.openxmlformats.org/officeDocument/2006/relationships/hyperlink" Target="http://109.73.164.202/~bamuin/naac-2024/DVV%20Compliances/3.4.5%20-%20Criteria%20III/Supporting%20Documents/" TargetMode="External"/><Relationship Id="rId106" Type="http://schemas.openxmlformats.org/officeDocument/2006/relationships/hyperlink" Target="https://online.bamu.ac.in/naac_ssr/file_upload/43_54431_1725.pdf" TargetMode="External"/><Relationship Id="rId127" Type="http://schemas.openxmlformats.org/officeDocument/2006/relationships/hyperlink" Target="https://online.bamu.ac.in/naac_ssr/file_upload/43_54413_5144.pdf" TargetMode="External"/><Relationship Id="rId313" Type="http://schemas.openxmlformats.org/officeDocument/2006/relationships/hyperlink" Target="https://online.bamu.ac.in/naac_ssr/file_upload/54_40405_2797.pdf" TargetMode="External"/><Relationship Id="rId495" Type="http://schemas.openxmlformats.org/officeDocument/2006/relationships/hyperlink" Target="http://109.73.164.202/~bamuin/naac-2024/DVV%20Compliances/3.4.5%20-%20Criteria%20III/Supporting%20Documents/" TargetMode="External"/><Relationship Id="rId10" Type="http://schemas.openxmlformats.org/officeDocument/2006/relationships/hyperlink" Target="https://online.bamu.ac.in/naac_ssr/file_upload/24_47916_5689.pdf" TargetMode="External"/><Relationship Id="rId31" Type="http://schemas.openxmlformats.org/officeDocument/2006/relationships/hyperlink" Target="https://online.bamu.ac.in/naac_ssr/file_upload/28_36719_8954.pdf" TargetMode="External"/><Relationship Id="rId52" Type="http://schemas.openxmlformats.org/officeDocument/2006/relationships/hyperlink" Target="https://online.bamu.ac.in/naac_ssr/file_upload/35_32743_5147.pdf" TargetMode="External"/><Relationship Id="rId73" Type="http://schemas.openxmlformats.org/officeDocument/2006/relationships/hyperlink" Target="https://online.bamu.ac.in/naac_ssr/file_upload/40_55402_7433.pdf" TargetMode="External"/><Relationship Id="rId94" Type="http://schemas.openxmlformats.org/officeDocument/2006/relationships/hyperlink" Target="https://online.bamu.ac.in/naac_ssr/file_upload/43_54342_9514.pdf" TargetMode="External"/><Relationship Id="rId148" Type="http://schemas.openxmlformats.org/officeDocument/2006/relationships/hyperlink" Target="https://online.bamu.ac.in/naac_ssr/file_upload/47_51535_3773.pdf" TargetMode="External"/><Relationship Id="rId169" Type="http://schemas.openxmlformats.org/officeDocument/2006/relationships/hyperlink" Target="https://online.bamu.ac.in/naac_ssr/file_upload/101_24801_3512.pdf" TargetMode="External"/><Relationship Id="rId334" Type="http://schemas.openxmlformats.org/officeDocument/2006/relationships/hyperlink" Target="https://www.flipkart.com/tribal-development-approaches-contemporary-policies/p/itm1e7556916d810?pid=9789393496362" TargetMode="External"/><Relationship Id="rId355" Type="http://schemas.openxmlformats.org/officeDocument/2006/relationships/hyperlink" Target="https://www.researchgate.net/publication/354558524_Sol-Gel_synthesis_structural_characterizations_photo-_catalytic_degradation_for_H2_production_and_UV-Absorption_of_yttrium-substituted_Co-Zn_ferrite_nanoparticles" TargetMode="External"/><Relationship Id="rId376" Type="http://schemas.openxmlformats.org/officeDocument/2006/relationships/hyperlink" Target="https://pubs.aip.org/aip/acp/article-abstract/2115/1/030523/797947/Evaluation-of-thermal-conductivity-of-the-NiFe2O4?redirectedFrom=PDF" TargetMode="External"/><Relationship Id="rId397" Type="http://schemas.openxmlformats.org/officeDocument/2006/relationships/hyperlink" Target="https://pubs.aip.org/aip/acp/article-abstract/1953/1/100058/792539/Copolymers-of-polyaniline-and-poly-o-toluidine?redirectedFrom=fulltext" TargetMode="External"/><Relationship Id="rId4" Type="http://schemas.openxmlformats.org/officeDocument/2006/relationships/hyperlink" Target="https://online.bamu.ac.in/naac_ssr/file_upload/24_56579_5355.pdf" TargetMode="External"/><Relationship Id="rId180" Type="http://schemas.openxmlformats.org/officeDocument/2006/relationships/hyperlink" Target="https://online.bamu.ac.in/naac_ssr/file_upload/28_27552_7889.pdf" TargetMode="External"/><Relationship Id="rId215" Type="http://schemas.openxmlformats.org/officeDocument/2006/relationships/hyperlink" Target="https://online.bamu.ac.in/naac_ssr/file_upload/34_31559_7799.pdf" TargetMode="External"/><Relationship Id="rId236" Type="http://schemas.openxmlformats.org/officeDocument/2006/relationships/hyperlink" Target="https://online.bamu.ac.in/naac_ssr/file_upload/43_54436_6484.pdf" TargetMode="External"/><Relationship Id="rId257" Type="http://schemas.openxmlformats.org/officeDocument/2006/relationships/hyperlink" Target="https://online.bamu.ac.in/naac_ssr/file_upload/43_54062_6742.pdf" TargetMode="External"/><Relationship Id="rId278" Type="http://schemas.openxmlformats.org/officeDocument/2006/relationships/hyperlink" Target="https://online.bamu.ac.in/naac_ssr/file_upload/43_54378_4119.pdf" TargetMode="External"/><Relationship Id="rId401" Type="http://schemas.openxmlformats.org/officeDocument/2006/relationships/hyperlink" Target="https://www.amazon.in/-/hi/Ajay-Kandar/dp/9357755632" TargetMode="External"/><Relationship Id="rId422" Type="http://schemas.openxmlformats.org/officeDocument/2006/relationships/hyperlink" Target="http://109.73.164.202/~bamuin/naac-2024/DVV%20Compliances/3.4.5%20-%20Criteria%20III/Supporting%20Documents/" TargetMode="External"/><Relationship Id="rId443" Type="http://schemas.openxmlformats.org/officeDocument/2006/relationships/hyperlink" Target="http://109.73.164.202/~bamuin/naac-2024/DVV%20Compliances/3.4.5%20-%20Criteria%20III/Supporting%20Documents/" TargetMode="External"/><Relationship Id="rId464" Type="http://schemas.openxmlformats.org/officeDocument/2006/relationships/hyperlink" Target="http://109.73.164.202/~bamuin/naac-2024/DVV%20Compliances/3.4.5%20-%20Criteria%20III/Supporting%20Documents/" TargetMode="External"/><Relationship Id="rId303" Type="http://schemas.openxmlformats.org/officeDocument/2006/relationships/hyperlink" Target="https://online.bamu.ac.in/naac_ssr/file_upload/47_43849_5271.pdf" TargetMode="External"/><Relationship Id="rId485" Type="http://schemas.openxmlformats.org/officeDocument/2006/relationships/hyperlink" Target="http://109.73.164.202/~bamuin/naac-2024/DVV%20Compliances/3.4.5%20-%20Criteria%20III/Supporting%20Documents/" TargetMode="External"/><Relationship Id="rId42" Type="http://schemas.openxmlformats.org/officeDocument/2006/relationships/hyperlink" Target="https://online.bamu.ac.in/naac_ssr/file_upload/33_49693_7722.pdf" TargetMode="External"/><Relationship Id="rId84" Type="http://schemas.openxmlformats.org/officeDocument/2006/relationships/hyperlink" Target="https://online.bamu.ac.in/naac_ssr/file_upload/43_54047_2691.pdf" TargetMode="External"/><Relationship Id="rId138" Type="http://schemas.openxmlformats.org/officeDocument/2006/relationships/hyperlink" Target="https://online.bamu.ac.in/naac_ssr/file_upload/46_47502_5673.pdf" TargetMode="External"/><Relationship Id="rId345" Type="http://schemas.openxmlformats.org/officeDocument/2006/relationships/hyperlink" Target="https://egyankosh.ac.in/handle/123456789/67274" TargetMode="External"/><Relationship Id="rId387" Type="http://schemas.openxmlformats.org/officeDocument/2006/relationships/hyperlink" Target="https://www.sciencedirect.com/science/article/pii/S2351978918301100" TargetMode="External"/><Relationship Id="rId191" Type="http://schemas.openxmlformats.org/officeDocument/2006/relationships/hyperlink" Target="https://ieeexplore.ieee.org/document/8745808" TargetMode="External"/><Relationship Id="rId205" Type="http://schemas.openxmlformats.org/officeDocument/2006/relationships/hyperlink" Target="https://online.bamu.ac.in/naac_ssr/file_upload/31_27594_9493.pdf" TargetMode="External"/><Relationship Id="rId247" Type="http://schemas.openxmlformats.org/officeDocument/2006/relationships/hyperlink" Target="https://online.bamu.ac.in/naac_ssr/file_upload/43_54273_8864.pdf" TargetMode="External"/><Relationship Id="rId412" Type="http://schemas.openxmlformats.org/officeDocument/2006/relationships/hyperlink" Target="https://www.ijnrd.org/papers/IJNRD2305158.pdf" TargetMode="External"/><Relationship Id="rId107" Type="http://schemas.openxmlformats.org/officeDocument/2006/relationships/hyperlink" Target="https://online.bamu.ac.in/naac_ssr/file_upload/43_54446_4575.pdf" TargetMode="External"/><Relationship Id="rId289" Type="http://schemas.openxmlformats.org/officeDocument/2006/relationships/hyperlink" Target="https://online.bamu.ac.in/naac_ssr/file_upload/45_40251_1162.pdf" TargetMode="External"/><Relationship Id="rId454" Type="http://schemas.openxmlformats.org/officeDocument/2006/relationships/hyperlink" Target="http://109.73.164.202/~bamuin/naac-2024/DVV%20Compliances/3.4.5%20-%20Criteria%20III/Supporting%20Documents/" TargetMode="External"/><Relationship Id="rId496" Type="http://schemas.openxmlformats.org/officeDocument/2006/relationships/hyperlink" Target="http://109.73.164.202/~bamuin/naac-2024/DVV%20Compliances/3.4.5%20-%20Criteria%20III/Supporting%20Documents/" TargetMode="External"/><Relationship Id="rId11" Type="http://schemas.openxmlformats.org/officeDocument/2006/relationships/hyperlink" Target="https://online.bamu.ac.in/naac_ssr/file_upload/24_47961_4369.pdf" TargetMode="External"/><Relationship Id="rId53" Type="http://schemas.openxmlformats.org/officeDocument/2006/relationships/hyperlink" Target="https://online.bamu.ac.in/naac_ssr/file_upload/35_32745_5818.pdf" TargetMode="External"/><Relationship Id="rId149" Type="http://schemas.openxmlformats.org/officeDocument/2006/relationships/hyperlink" Target="https://online.bamu.ac.in/naac_ssr/file_upload/47_51536_4277.pdf" TargetMode="External"/><Relationship Id="rId314" Type="http://schemas.openxmlformats.org/officeDocument/2006/relationships/hyperlink" Target="https://online.bamu.ac.in/naac_ssr/file_upload/54_40409_1295.pdf" TargetMode="External"/><Relationship Id="rId356" Type="http://schemas.openxmlformats.org/officeDocument/2006/relationships/hyperlink" Target="https://pubs.aip.org/aip/acp/article-abstract/2369/1/020193/669005/Growth-and-optoelectronic-properties-of-CuFeS2?redirectedFrom=fulltext" TargetMode="External"/><Relationship Id="rId398" Type="http://schemas.openxmlformats.org/officeDocument/2006/relationships/hyperlink" Target="https://ui.adsabs.harvard.edu/abs/2018AIPC.1953j0034P/abstract" TargetMode="External"/><Relationship Id="rId95" Type="http://schemas.openxmlformats.org/officeDocument/2006/relationships/hyperlink" Target="https://online.bamu.ac.in/naac_ssr/file_upload/43_54351_8182.pdf" TargetMode="External"/><Relationship Id="rId160" Type="http://schemas.openxmlformats.org/officeDocument/2006/relationships/hyperlink" Target="https://online.bamu.ac.in/naac_ssr/file_upload/60_54704_6175.pdf" TargetMode="External"/><Relationship Id="rId216" Type="http://schemas.openxmlformats.org/officeDocument/2006/relationships/hyperlink" Target="https://online.bamu.ac.in/naac_ssr/file_upload/34_31571_1144.pdf" TargetMode="External"/><Relationship Id="rId423" Type="http://schemas.openxmlformats.org/officeDocument/2006/relationships/hyperlink" Target="http://109.73.164.202/~bamuin/naac-2024/DVV%20Compliances/3.4.5%20-%20Criteria%20III/Supporting%20Documents/" TargetMode="External"/><Relationship Id="rId258" Type="http://schemas.openxmlformats.org/officeDocument/2006/relationships/hyperlink" Target="https://online.bamu.ac.in/naac_ssr/file_upload/43_54174_8476.pdf" TargetMode="External"/><Relationship Id="rId465" Type="http://schemas.openxmlformats.org/officeDocument/2006/relationships/hyperlink" Target="http://109.73.164.202/~bamuin/naac-2024/DVV%20Compliances/3.4.5%20-%20Criteria%20III/Supporting%20Documents/" TargetMode="External"/><Relationship Id="rId22" Type="http://schemas.openxmlformats.org/officeDocument/2006/relationships/hyperlink" Target="https://online.bamu.ac.in/naac_ssr/file_upload/27_44599_7865.pdf" TargetMode="External"/><Relationship Id="rId64" Type="http://schemas.openxmlformats.org/officeDocument/2006/relationships/hyperlink" Target="https://online.bamu.ac.in/naac_ssr/file_upload/39_51691_9661.pdf" TargetMode="External"/><Relationship Id="rId118" Type="http://schemas.openxmlformats.org/officeDocument/2006/relationships/hyperlink" Target="https://online.bamu.ac.in/naac_ssr/file_upload/43_54165_4846.pdf" TargetMode="External"/><Relationship Id="rId325" Type="http://schemas.openxmlformats.org/officeDocument/2006/relationships/hyperlink" Target="https://online.bamu.ac.in/naac_ssr/file_upload/101_24777_8717.pdf" TargetMode="External"/><Relationship Id="rId367" Type="http://schemas.openxmlformats.org/officeDocument/2006/relationships/hyperlink" Target="https://pubs.aip.org/aip/acp/article-abstract/2265/1/030085/890053/Dextrose-assisted-sol-gel-auto-combustion?redirectedFrom=fulltext" TargetMode="External"/><Relationship Id="rId171" Type="http://schemas.openxmlformats.org/officeDocument/2006/relationships/hyperlink" Target="https://online.bamu.ac.in/naac_ssr/file_upload/101_24833_4619.pdf" TargetMode="External"/><Relationship Id="rId227" Type="http://schemas.openxmlformats.org/officeDocument/2006/relationships/hyperlink" Target="https://online.bamu.ac.in/naac_ssr/file_upload/40_55406_1471.pdf" TargetMode="External"/><Relationship Id="rId269" Type="http://schemas.openxmlformats.org/officeDocument/2006/relationships/hyperlink" Target="https://online.bamu.ac.in/naac_ssr/file_upload/43_54080_6797.pdf" TargetMode="External"/><Relationship Id="rId434" Type="http://schemas.openxmlformats.org/officeDocument/2006/relationships/hyperlink" Target="http://109.73.164.202/~bamuin/naac-2024/DVV%20Compliances/3.4.5%20-%20Criteria%20III/Supporting%20Documents/" TargetMode="External"/><Relationship Id="rId476" Type="http://schemas.openxmlformats.org/officeDocument/2006/relationships/hyperlink" Target="http://109.73.164.202/~bamuin/naac-2024/DVV%20Compliances/3.4.5%20-%20Criteria%20III/Supporting%20Documents/" TargetMode="External"/><Relationship Id="rId33" Type="http://schemas.openxmlformats.org/officeDocument/2006/relationships/hyperlink" Target="https://online.bamu.ac.in/naac_ssr/file_upload/28_36721_6627.pdf" TargetMode="External"/><Relationship Id="rId129" Type="http://schemas.openxmlformats.org/officeDocument/2006/relationships/hyperlink" Target="https://online.bamu.ac.in/naac_ssr/file_upload/43_54502_8412.pdf" TargetMode="External"/><Relationship Id="rId280" Type="http://schemas.openxmlformats.org/officeDocument/2006/relationships/hyperlink" Target="https://online.bamu.ac.in/naac_ssr/file_upload/43_54391_1662.pdf" TargetMode="External"/><Relationship Id="rId336" Type="http://schemas.openxmlformats.org/officeDocument/2006/relationships/hyperlink" Target="https://www.intechopen.com/chapters/77983" TargetMode="External"/><Relationship Id="rId501" Type="http://schemas.openxmlformats.org/officeDocument/2006/relationships/hyperlink" Target="http://109.73.164.202/~bamuin/naac-2024/DVV%20Compliances/3.4.5%20-%20Criteria%20III/Supporting%20Documents/" TargetMode="External"/><Relationship Id="rId75" Type="http://schemas.openxmlformats.org/officeDocument/2006/relationships/hyperlink" Target="https://online.bamu.ac.in/naac_ssr/file_upload/40_54252_9483.pdf" TargetMode="External"/><Relationship Id="rId140" Type="http://schemas.openxmlformats.org/officeDocument/2006/relationships/hyperlink" Target="https://online.bamu.ac.in/naac_ssr/file_upload/47_35157_8119.pdf" TargetMode="External"/><Relationship Id="rId182" Type="http://schemas.openxmlformats.org/officeDocument/2006/relationships/hyperlink" Target="https://online.bamu.ac.in/naac_ssr/file_upload/28_27554_7663.pdf" TargetMode="External"/><Relationship Id="rId378" Type="http://schemas.openxmlformats.org/officeDocument/2006/relationships/hyperlink" Target="https://pubs.aip.org/aip/acp/article-abstract/2142/1/100001/802960/Study-of-thermo-physical-properties-of-binary?redirectedFrom=fulltext" TargetMode="External"/><Relationship Id="rId403" Type="http://schemas.openxmlformats.org/officeDocument/2006/relationships/hyperlink" Target="https://link.springer.com/chapter/10.1007/978-981-16-0493-5_28" TargetMode="External"/><Relationship Id="rId6" Type="http://schemas.openxmlformats.org/officeDocument/2006/relationships/hyperlink" Target="https://online.bamu.ac.in/naac_ssr/file_upload/24_56586_8676.pdf" TargetMode="External"/><Relationship Id="rId238" Type="http://schemas.openxmlformats.org/officeDocument/2006/relationships/hyperlink" Target="https://online.bamu.ac.in/naac_ssr/file_upload/43_54440_9357.pdf" TargetMode="External"/><Relationship Id="rId445" Type="http://schemas.openxmlformats.org/officeDocument/2006/relationships/hyperlink" Target="http://109.73.164.202/~bamuin/naac-2024/DVV%20Compliances/3.4.5%20-%20Criteria%20III/Supporting%20Documents/" TargetMode="External"/><Relationship Id="rId487" Type="http://schemas.openxmlformats.org/officeDocument/2006/relationships/hyperlink" Target="http://109.73.164.202/~bamuin/naac-2024/DVV%20Compliances/3.4.5%20-%20Criteria%20III/Supporting%20Documents/" TargetMode="External"/><Relationship Id="rId291" Type="http://schemas.openxmlformats.org/officeDocument/2006/relationships/hyperlink" Target="https://online.bamu.ac.in/naac_ssr/file_upload/45_40698_9388.pdf" TargetMode="External"/><Relationship Id="rId305" Type="http://schemas.openxmlformats.org/officeDocument/2006/relationships/hyperlink" Target="https://online.bamu.ac.in/naac_ssr/file_upload/47_43887_1714.pdf" TargetMode="External"/><Relationship Id="rId347" Type="http://schemas.openxmlformats.org/officeDocument/2006/relationships/hyperlink" Target="http://www.bamu.ac.in/Portals/40/Backwardness%20of%20Indian%20Muslims.pdf" TargetMode="External"/><Relationship Id="rId44" Type="http://schemas.openxmlformats.org/officeDocument/2006/relationships/hyperlink" Target="https://online.bamu.ac.in/naac_ssr/file_upload/33_49745_3262.pdf" TargetMode="External"/><Relationship Id="rId86" Type="http://schemas.openxmlformats.org/officeDocument/2006/relationships/hyperlink" Target="https://online.bamu.ac.in/naac_ssr/file_upload/43_54049_7789.pdf" TargetMode="External"/><Relationship Id="rId151" Type="http://schemas.openxmlformats.org/officeDocument/2006/relationships/hyperlink" Target="https://online.bamu.ac.in/naac_ssr/file_upload/47_51539_9775.pdf" TargetMode="External"/><Relationship Id="rId389" Type="http://schemas.openxmlformats.org/officeDocument/2006/relationships/hyperlink" Target="https://pubs.aip.org/aip/acp/article-abstract/1953/1/090074/794268/Effect-of-RE-Nd3-Sm3-oxide-on-structural-optical?redirectedFrom=PDF" TargetMode="External"/><Relationship Id="rId193" Type="http://schemas.openxmlformats.org/officeDocument/2006/relationships/hyperlink" Target="https://www.ijpsonline.com/articles/formulation-and-evaluation-of-self-microemulsifying-drug-delivery-system-of-carvedilol.pdf" TargetMode="External"/><Relationship Id="rId207" Type="http://schemas.openxmlformats.org/officeDocument/2006/relationships/hyperlink" Target="https://online.bamu.ac.in/naac_ssr/file_upload/33_49693_7722.pdf" TargetMode="External"/><Relationship Id="rId249" Type="http://schemas.openxmlformats.org/officeDocument/2006/relationships/hyperlink" Target="https://online.bamu.ac.in/naac_ssr/file_upload/43_54342_9514.pdf" TargetMode="External"/><Relationship Id="rId414" Type="http://schemas.openxmlformats.org/officeDocument/2006/relationships/hyperlink" Target="http://109.73.164.202/~bamuin/naac-2024/DVV%20Compliances/3.4.5%20-%20Criteria%20III/Supporting%20Documents/" TargetMode="External"/><Relationship Id="rId456" Type="http://schemas.openxmlformats.org/officeDocument/2006/relationships/hyperlink" Target="http://109.73.164.202/~bamuin/naac-2024/DVV%20Compliances/3.4.5%20-%20Criteria%20III/Supporting%20Documents/" TargetMode="External"/><Relationship Id="rId498" Type="http://schemas.openxmlformats.org/officeDocument/2006/relationships/hyperlink" Target="http://109.73.164.202/~bamuin/naac-2024/DVV%20Compliances/3.4.5%20-%20Criteria%20III/Supporting%20Documents/" TargetMode="External"/><Relationship Id="rId13" Type="http://schemas.openxmlformats.org/officeDocument/2006/relationships/hyperlink" Target="https://online.bamu.ac.in/naac_ssr/file_upload/24_47969_9994.pdf" TargetMode="External"/><Relationship Id="rId109" Type="http://schemas.openxmlformats.org/officeDocument/2006/relationships/hyperlink" Target="https://online.bamu.ac.in/naac_ssr/file_upload/43_54068_4238.pdf" TargetMode="External"/><Relationship Id="rId260" Type="http://schemas.openxmlformats.org/officeDocument/2006/relationships/hyperlink" Target="https://online.bamu.ac.in/naac_ssr/file_upload/43_54209_3777.pdf" TargetMode="External"/><Relationship Id="rId316" Type="http://schemas.openxmlformats.org/officeDocument/2006/relationships/hyperlink" Target="https://online.bamu.ac.in/naac_ssr/file_upload/54_48791_6822.pdf" TargetMode="External"/><Relationship Id="rId55" Type="http://schemas.openxmlformats.org/officeDocument/2006/relationships/hyperlink" Target="https://online.bamu.ac.in/naac_ssr/file_upload/35_47984_1635.pdf" TargetMode="External"/><Relationship Id="rId97" Type="http://schemas.openxmlformats.org/officeDocument/2006/relationships/hyperlink" Target="https://online.bamu.ac.in/naac_ssr/file_upload/43_54478_4414.pdf" TargetMode="External"/><Relationship Id="rId120" Type="http://schemas.openxmlformats.org/officeDocument/2006/relationships/hyperlink" Target="https://online.bamu.ac.in/naac_ssr/file_upload/43_54172_4172.pdf" TargetMode="External"/><Relationship Id="rId358" Type="http://schemas.openxmlformats.org/officeDocument/2006/relationships/hyperlink" Target="https://www.researchgate.net/publication/346141455_Effects_on_Structural_Functional_groups_and_Photo_Luminance_Properties_of_Copper_Doped_Zinc_Oxide_Nanoparticles" TargetMode="External"/><Relationship Id="rId162" Type="http://schemas.openxmlformats.org/officeDocument/2006/relationships/hyperlink" Target="https://online.bamu.ac.in/naac_ssr/file_upload/61_35227_9876.pdf" TargetMode="External"/><Relationship Id="rId218" Type="http://schemas.openxmlformats.org/officeDocument/2006/relationships/hyperlink" Target="https://online.bamu.ac.in/naac_ssr/file_upload/36_26410_9661.pdf" TargetMode="External"/><Relationship Id="rId425" Type="http://schemas.openxmlformats.org/officeDocument/2006/relationships/hyperlink" Target="http://109.73.164.202/~bamuin/naac-2024/DVV%20Compliances/3.4.5%20-%20Criteria%20III/Supporting%20Documents/" TargetMode="External"/><Relationship Id="rId467" Type="http://schemas.openxmlformats.org/officeDocument/2006/relationships/hyperlink" Target="http://109.73.164.202/~bamuin/naac-2024/DVV%20Compliances/3.4.5%20-%20Criteria%20III/Supporting%20Documents/" TargetMode="External"/><Relationship Id="rId271" Type="http://schemas.openxmlformats.org/officeDocument/2006/relationships/hyperlink" Target="https://online.bamu.ac.in/naac_ssr/file_upload/43_54163_7645.pdf" TargetMode="External"/><Relationship Id="rId24" Type="http://schemas.openxmlformats.org/officeDocument/2006/relationships/hyperlink" Target="https://online.bamu.ac.in/naac_ssr/file_upload/28_32878_8989.pdf" TargetMode="External"/><Relationship Id="rId66" Type="http://schemas.openxmlformats.org/officeDocument/2006/relationships/hyperlink" Target="https://online.bamu.ac.in/naac_ssr/file_upload/39_56986_2995.pdf" TargetMode="External"/><Relationship Id="rId131" Type="http://schemas.openxmlformats.org/officeDocument/2006/relationships/hyperlink" Target="https://online.bamu.ac.in/naac_ssr/file_upload/45_25933_1388.pdf" TargetMode="External"/><Relationship Id="rId327" Type="http://schemas.openxmlformats.org/officeDocument/2006/relationships/hyperlink" Target="https://online.bamu.ac.in/naac_ssr/file_upload/101_24832_6196.pdf" TargetMode="External"/><Relationship Id="rId369" Type="http://schemas.openxmlformats.org/officeDocument/2006/relationships/hyperlink" Target="https://pubs.aip.org/aip/acp/article-abstract/2265/1/030557/808582/Effect-of-zinc-doping-on-water-based-manganese?redirectedFro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70"/>
  <sheetViews>
    <sheetView tabSelected="1" zoomScale="70" zoomScaleNormal="70" workbookViewId="0">
      <selection activeCell="B1" sqref="B1"/>
    </sheetView>
  </sheetViews>
  <sheetFormatPr defaultRowHeight="15" x14ac:dyDescent="0.25"/>
  <cols>
    <col min="1" max="1" width="8.85546875" style="1"/>
    <col min="2" max="2" width="24.7109375" customWidth="1"/>
    <col min="3" max="3" width="28.42578125" customWidth="1"/>
    <col min="4" max="4" width="26.28515625" customWidth="1"/>
    <col min="5" max="5" width="14" style="1" customWidth="1"/>
    <col min="6" max="6" width="21.42578125" customWidth="1"/>
    <col min="7" max="7" width="16" style="1" customWidth="1"/>
    <col min="8" max="8" width="34.5703125" customWidth="1"/>
    <col min="9" max="9" width="34.28515625" style="8" customWidth="1"/>
  </cols>
  <sheetData>
    <row r="1" spans="1:9" ht="15.75" x14ac:dyDescent="0.25">
      <c r="A1" s="6" t="s">
        <v>4610</v>
      </c>
      <c r="B1" s="7" t="s">
        <v>4611</v>
      </c>
    </row>
    <row r="3" spans="1:9" ht="90" x14ac:dyDescent="0.25">
      <c r="A3" s="4" t="s">
        <v>4609</v>
      </c>
      <c r="B3" s="5" t="s">
        <v>0</v>
      </c>
      <c r="C3" s="5" t="s">
        <v>1</v>
      </c>
      <c r="D3" s="5" t="s">
        <v>2</v>
      </c>
      <c r="E3" s="4" t="s">
        <v>3</v>
      </c>
      <c r="F3" s="5" t="s">
        <v>4</v>
      </c>
      <c r="G3" s="4" t="s">
        <v>5</v>
      </c>
      <c r="H3" s="5" t="s">
        <v>6</v>
      </c>
      <c r="I3" s="9" t="s">
        <v>7</v>
      </c>
    </row>
    <row r="4" spans="1:9" ht="60" x14ac:dyDescent="0.25">
      <c r="A4" s="2">
        <v>1</v>
      </c>
      <c r="B4" s="3" t="s">
        <v>8</v>
      </c>
      <c r="C4" s="3" t="s">
        <v>9</v>
      </c>
      <c r="D4" s="3" t="s">
        <v>10</v>
      </c>
      <c r="E4" s="2">
        <v>2022</v>
      </c>
      <c r="F4" s="3" t="s">
        <v>11</v>
      </c>
      <c r="G4" s="2" t="s">
        <v>12</v>
      </c>
      <c r="H4" s="3" t="s">
        <v>13</v>
      </c>
      <c r="I4" s="10" t="str">
        <f>HYPERLINK("http://dx.doi.org/10.1007/978-981-16-1866-6_3","http://dx.doi.org/10.1007/978-981-16-1866-6_3")</f>
        <v>http://dx.doi.org/10.1007/978-981-16-1866-6_3</v>
      </c>
    </row>
    <row r="5" spans="1:9" ht="75" x14ac:dyDescent="0.25">
      <c r="A5" s="2">
        <v>2</v>
      </c>
      <c r="B5" s="3" t="s">
        <v>14</v>
      </c>
      <c r="C5" s="3" t="s">
        <v>15</v>
      </c>
      <c r="D5" s="3" t="s">
        <v>16</v>
      </c>
      <c r="E5" s="2">
        <v>2022</v>
      </c>
      <c r="F5" s="3" t="s">
        <v>17</v>
      </c>
      <c r="G5" s="2" t="s">
        <v>12</v>
      </c>
      <c r="H5" s="3" t="s">
        <v>18</v>
      </c>
      <c r="I5" s="10" t="str">
        <f>HYPERLINK("http://dx.doi.org/10.1007/978-3-031-12641-3_19","http://dx.doi.org/10.1007/978-3-031-12641-3_19")</f>
        <v>http://dx.doi.org/10.1007/978-3-031-12641-3_19</v>
      </c>
    </row>
    <row r="6" spans="1:9" ht="90" x14ac:dyDescent="0.25">
      <c r="A6" s="2">
        <v>3</v>
      </c>
      <c r="B6" s="3" t="s">
        <v>19</v>
      </c>
      <c r="C6" s="3" t="s">
        <v>20</v>
      </c>
      <c r="D6" s="3" t="s">
        <v>21</v>
      </c>
      <c r="E6" s="2">
        <v>2021</v>
      </c>
      <c r="F6" s="3" t="s">
        <v>22</v>
      </c>
      <c r="G6" s="2" t="s">
        <v>12</v>
      </c>
      <c r="H6" s="3" t="s">
        <v>23</v>
      </c>
      <c r="I6" s="10" t="str">
        <f>HYPERLINK("http://dx.doi.org/10.1002/slct.202102625","http://dx.doi.org/10.1002/slct.202102625")</f>
        <v>http://dx.doi.org/10.1002/slct.202102625</v>
      </c>
    </row>
    <row r="7" spans="1:9" ht="120" x14ac:dyDescent="0.25">
      <c r="A7" s="2">
        <v>4</v>
      </c>
      <c r="B7" s="3" t="s">
        <v>24</v>
      </c>
      <c r="C7" s="3" t="s">
        <v>25</v>
      </c>
      <c r="D7" s="3" t="s">
        <v>26</v>
      </c>
      <c r="E7" s="2">
        <v>2021</v>
      </c>
      <c r="F7" s="3" t="s">
        <v>27</v>
      </c>
      <c r="G7" s="2" t="s">
        <v>12</v>
      </c>
      <c r="H7" s="3" t="s">
        <v>28</v>
      </c>
      <c r="I7" s="10" t="str">
        <f>HYPERLINK("http://dx.doi.org/10.1021/acsomega.1c02093","http://dx.doi.org/10.1021/acsomega.1c02093")</f>
        <v>http://dx.doi.org/10.1021/acsomega.1c02093</v>
      </c>
    </row>
    <row r="8" spans="1:9" ht="90" x14ac:dyDescent="0.25">
      <c r="A8" s="2">
        <v>5</v>
      </c>
      <c r="B8" s="3" t="s">
        <v>29</v>
      </c>
      <c r="C8" s="3" t="s">
        <v>30</v>
      </c>
      <c r="D8" s="3" t="s">
        <v>31</v>
      </c>
      <c r="E8" s="2">
        <v>2021</v>
      </c>
      <c r="F8" s="3" t="s">
        <v>32</v>
      </c>
      <c r="G8" s="2" t="s">
        <v>12</v>
      </c>
      <c r="H8" s="3" t="s">
        <v>33</v>
      </c>
      <c r="I8" s="10" t="str">
        <f>HYPERLINK("http://dx.doi.org/10.1016/j.jiec.2020.10.002","http://dx.doi.org/10.1016/j.jiec.2020.10.002")</f>
        <v>http://dx.doi.org/10.1016/j.jiec.2020.10.002</v>
      </c>
    </row>
    <row r="9" spans="1:9" ht="75" x14ac:dyDescent="0.25">
      <c r="A9" s="2">
        <v>6</v>
      </c>
      <c r="B9" s="3" t="s">
        <v>34</v>
      </c>
      <c r="C9" s="3" t="s">
        <v>35</v>
      </c>
      <c r="D9" s="3" t="s">
        <v>36</v>
      </c>
      <c r="E9" s="2">
        <v>2021</v>
      </c>
      <c r="F9" s="3" t="s">
        <v>37</v>
      </c>
      <c r="G9" s="2" t="s">
        <v>12</v>
      </c>
      <c r="H9" s="3" t="s">
        <v>38</v>
      </c>
      <c r="I9" s="10" t="str">
        <f>HYPERLINK("http://dx.doi.org/10.2174/1573413716999200605154956","http://dx.doi.org/10.2174/1573413716999200605154956")</f>
        <v>http://dx.doi.org/10.2174/1573413716999200605154956</v>
      </c>
    </row>
    <row r="10" spans="1:9" ht="60" x14ac:dyDescent="0.25">
      <c r="A10" s="2">
        <v>7</v>
      </c>
      <c r="B10" s="3" t="s">
        <v>39</v>
      </c>
      <c r="C10" s="3" t="s">
        <v>40</v>
      </c>
      <c r="D10" s="3" t="s">
        <v>41</v>
      </c>
      <c r="E10" s="2">
        <v>2020</v>
      </c>
      <c r="F10" s="3" t="s">
        <v>42</v>
      </c>
      <c r="G10" s="2" t="s">
        <v>12</v>
      </c>
      <c r="H10" s="3" t="s">
        <v>43</v>
      </c>
      <c r="I10" s="10" t="str">
        <f>HYPERLINK("http://dx.doi.org/10.3934/math.2020148","http://dx.doi.org/10.3934/math.2020148")</f>
        <v>http://dx.doi.org/10.3934/math.2020148</v>
      </c>
    </row>
    <row r="11" spans="1:9" ht="75" x14ac:dyDescent="0.25">
      <c r="A11" s="2">
        <v>8</v>
      </c>
      <c r="B11" s="3" t="s">
        <v>44</v>
      </c>
      <c r="C11" s="3" t="s">
        <v>45</v>
      </c>
      <c r="D11" s="3" t="s">
        <v>46</v>
      </c>
      <c r="E11" s="2">
        <v>2018</v>
      </c>
      <c r="F11" s="3" t="s">
        <v>47</v>
      </c>
      <c r="G11" s="2" t="s">
        <v>12</v>
      </c>
      <c r="H11" s="3" t="s">
        <v>48</v>
      </c>
      <c r="I11" s="10" t="str">
        <f>HYPERLINK("http://dx.doi.org/10.1007/s11164-018-3305-4","http://dx.doi.org/10.1007/s11164-018-3305-4")</f>
        <v>http://dx.doi.org/10.1007/s11164-018-3305-4</v>
      </c>
    </row>
    <row r="12" spans="1:9" ht="60" x14ac:dyDescent="0.25">
      <c r="A12" s="2">
        <v>9</v>
      </c>
      <c r="B12" s="3" t="s">
        <v>49</v>
      </c>
      <c r="C12" s="3" t="s">
        <v>50</v>
      </c>
      <c r="D12" s="3" t="s">
        <v>51</v>
      </c>
      <c r="E12" s="2">
        <v>2021</v>
      </c>
      <c r="F12" s="3" t="s">
        <v>52</v>
      </c>
      <c r="G12" s="2" t="s">
        <v>12</v>
      </c>
      <c r="H12" s="3" t="s">
        <v>53</v>
      </c>
      <c r="I12" s="11" t="s">
        <v>54</v>
      </c>
    </row>
    <row r="13" spans="1:9" ht="60" x14ac:dyDescent="0.25">
      <c r="A13" s="2">
        <v>10</v>
      </c>
      <c r="B13" s="3" t="s">
        <v>55</v>
      </c>
      <c r="C13" s="3" t="s">
        <v>56</v>
      </c>
      <c r="D13" s="3" t="s">
        <v>57</v>
      </c>
      <c r="E13" s="2">
        <v>2019</v>
      </c>
      <c r="F13" s="3" t="s">
        <v>47</v>
      </c>
      <c r="G13" s="2" t="s">
        <v>12</v>
      </c>
      <c r="H13" s="3" t="s">
        <v>58</v>
      </c>
      <c r="I13" s="10" t="str">
        <f>HYPERLINK("http://dx.doi.org/10.1039/c8ra10286d","http://dx.doi.org/10.1039/c8ra10286d")</f>
        <v>http://dx.doi.org/10.1039/c8ra10286d</v>
      </c>
    </row>
    <row r="14" spans="1:9" ht="75" x14ac:dyDescent="0.25">
      <c r="A14" s="2">
        <v>11</v>
      </c>
      <c r="B14" s="3" t="s">
        <v>59</v>
      </c>
      <c r="C14" s="3" t="s">
        <v>60</v>
      </c>
      <c r="D14" s="3" t="s">
        <v>61</v>
      </c>
      <c r="E14" s="2">
        <v>2019</v>
      </c>
      <c r="F14" s="3" t="s">
        <v>62</v>
      </c>
      <c r="G14" s="2" t="s">
        <v>12</v>
      </c>
      <c r="H14" s="3" t="s">
        <v>18</v>
      </c>
      <c r="I14" s="10" t="str">
        <f>HYPERLINK("http://dx.doi.org/10.1007/978-981-13-1513-8_39","http://dx.doi.org/10.1007/978-981-13-1513-8_39")</f>
        <v>http://dx.doi.org/10.1007/978-981-13-1513-8_39</v>
      </c>
    </row>
    <row r="15" spans="1:9" ht="105" x14ac:dyDescent="0.25">
      <c r="A15" s="2">
        <v>12</v>
      </c>
      <c r="B15" s="3" t="s">
        <v>64</v>
      </c>
      <c r="C15" s="3" t="s">
        <v>65</v>
      </c>
      <c r="D15" s="3" t="s">
        <v>66</v>
      </c>
      <c r="E15" s="2">
        <v>2018</v>
      </c>
      <c r="F15" s="3" t="s">
        <v>47</v>
      </c>
      <c r="G15" s="2" t="s">
        <v>12</v>
      </c>
      <c r="H15" s="3" t="s">
        <v>67</v>
      </c>
      <c r="I15" s="10" t="str">
        <f>HYPERLINK("http://dx.doi.org/10.1002/jhet.3095","http://dx.doi.org/10.1002/jhet.3095")</f>
        <v>http://dx.doi.org/10.1002/jhet.3095</v>
      </c>
    </row>
    <row r="16" spans="1:9" ht="60" x14ac:dyDescent="0.25">
      <c r="A16" s="2">
        <v>13</v>
      </c>
      <c r="B16" s="3" t="s">
        <v>68</v>
      </c>
      <c r="C16" s="3" t="s">
        <v>69</v>
      </c>
      <c r="D16" s="3" t="s">
        <v>70</v>
      </c>
      <c r="E16" s="2">
        <v>2018</v>
      </c>
      <c r="F16" s="3" t="s">
        <v>71</v>
      </c>
      <c r="G16" s="2" t="s">
        <v>12</v>
      </c>
      <c r="H16" s="3" t="s">
        <v>72</v>
      </c>
      <c r="I16" s="11" t="s">
        <v>73</v>
      </c>
    </row>
    <row r="17" spans="1:9" ht="60" x14ac:dyDescent="0.25">
      <c r="A17" s="2">
        <v>14</v>
      </c>
      <c r="B17" s="3" t="s">
        <v>74</v>
      </c>
      <c r="C17" s="3" t="s">
        <v>75</v>
      </c>
      <c r="D17" s="3" t="s">
        <v>76</v>
      </c>
      <c r="E17" s="2">
        <v>2022</v>
      </c>
      <c r="F17" s="3" t="s">
        <v>42</v>
      </c>
      <c r="G17" s="2" t="s">
        <v>12</v>
      </c>
      <c r="H17" s="3" t="s">
        <v>28</v>
      </c>
      <c r="I17" s="10" t="str">
        <f>HYPERLINK("http://dx.doi.org/10.1021/acs.energyfuels.2c00676","http://dx.doi.org/10.1021/acs.energyfuels.2c00676")</f>
        <v>http://dx.doi.org/10.1021/acs.energyfuels.2c00676</v>
      </c>
    </row>
    <row r="18" spans="1:9" ht="30" x14ac:dyDescent="0.25">
      <c r="A18" s="2">
        <v>15</v>
      </c>
      <c r="B18" s="3" t="s">
        <v>77</v>
      </c>
      <c r="C18" s="3" t="s">
        <v>78</v>
      </c>
      <c r="D18" s="3" t="s">
        <v>79</v>
      </c>
      <c r="E18" s="2">
        <v>2022</v>
      </c>
      <c r="F18" s="3" t="s">
        <v>47</v>
      </c>
      <c r="G18" s="2" t="s">
        <v>12</v>
      </c>
      <c r="H18" s="3" t="s">
        <v>13</v>
      </c>
      <c r="I18" s="10" t="str">
        <f>HYPERLINK("http://dx.doi.org/10.1007/978-981-16-7389-4_4","http://dx.doi.org/10.1007/978-981-16-7389-4_4")</f>
        <v>http://dx.doi.org/10.1007/978-981-16-7389-4_4</v>
      </c>
    </row>
    <row r="19" spans="1:9" ht="30" x14ac:dyDescent="0.25">
      <c r="A19" s="2">
        <v>16</v>
      </c>
      <c r="B19" s="3" t="s">
        <v>80</v>
      </c>
      <c r="C19" s="3" t="s">
        <v>81</v>
      </c>
      <c r="D19" s="3" t="s">
        <v>82</v>
      </c>
      <c r="E19" s="2">
        <v>2020</v>
      </c>
      <c r="F19" s="3" t="s">
        <v>83</v>
      </c>
      <c r="G19" s="2" t="s">
        <v>12</v>
      </c>
      <c r="H19" s="3" t="s">
        <v>84</v>
      </c>
      <c r="I19" s="10" t="str">
        <f>HYPERLINK("http://dx.doi.org/10.1142/S1793557120500230","http://dx.doi.org/10.1142/S1793557120500230")</f>
        <v>http://dx.doi.org/10.1142/S1793557120500230</v>
      </c>
    </row>
    <row r="20" spans="1:9" ht="60" x14ac:dyDescent="0.25">
      <c r="A20" s="2">
        <v>17</v>
      </c>
      <c r="B20" s="3" t="s">
        <v>39</v>
      </c>
      <c r="C20" s="3" t="s">
        <v>85</v>
      </c>
      <c r="D20" s="3" t="s">
        <v>86</v>
      </c>
      <c r="E20" s="2">
        <v>2019</v>
      </c>
      <c r="F20" s="3" t="s">
        <v>87</v>
      </c>
      <c r="G20" s="2" t="s">
        <v>12</v>
      </c>
      <c r="H20" s="3" t="s">
        <v>33</v>
      </c>
      <c r="I20" s="10" t="str">
        <f>HYPERLINK("http://dx.doi.org/10.1016/j.amc.2018.10.034","http://dx.doi.org/10.1016/j.amc.2018.10.034")</f>
        <v>http://dx.doi.org/10.1016/j.amc.2018.10.034</v>
      </c>
    </row>
    <row r="21" spans="1:9" ht="120" x14ac:dyDescent="0.25">
      <c r="A21" s="2">
        <v>18</v>
      </c>
      <c r="B21" s="3" t="s">
        <v>88</v>
      </c>
      <c r="C21" s="3" t="s">
        <v>89</v>
      </c>
      <c r="D21" s="3" t="s">
        <v>90</v>
      </c>
      <c r="E21" s="2">
        <v>2022</v>
      </c>
      <c r="F21" s="3" t="s">
        <v>47</v>
      </c>
      <c r="G21" s="2" t="s">
        <v>12</v>
      </c>
      <c r="H21" s="3" t="s">
        <v>91</v>
      </c>
      <c r="I21" s="10" t="str">
        <f>HYPERLINK("http://dx.doi.org/10.1080/10406638.2021.1998156","http://dx.doi.org/10.1080/10406638.2021.1998156")</f>
        <v>http://dx.doi.org/10.1080/10406638.2021.1998156</v>
      </c>
    </row>
    <row r="22" spans="1:9" ht="60" x14ac:dyDescent="0.25">
      <c r="A22" s="2">
        <v>19</v>
      </c>
      <c r="B22" s="3" t="s">
        <v>92</v>
      </c>
      <c r="C22" s="3" t="s">
        <v>93</v>
      </c>
      <c r="D22" s="3" t="s">
        <v>94</v>
      </c>
      <c r="E22" s="2">
        <v>2019</v>
      </c>
      <c r="F22" s="3" t="s">
        <v>95</v>
      </c>
      <c r="G22" s="2" t="s">
        <v>12</v>
      </c>
      <c r="H22" s="3" t="s">
        <v>96</v>
      </c>
      <c r="I22" s="11" t="s">
        <v>97</v>
      </c>
    </row>
    <row r="23" spans="1:9" ht="60" x14ac:dyDescent="0.25">
      <c r="A23" s="2">
        <v>20</v>
      </c>
      <c r="B23" s="3" t="s">
        <v>98</v>
      </c>
      <c r="C23" s="3" t="s">
        <v>99</v>
      </c>
      <c r="D23" s="3" t="s">
        <v>100</v>
      </c>
      <c r="E23" s="2">
        <v>2018</v>
      </c>
      <c r="F23" s="3" t="s">
        <v>101</v>
      </c>
      <c r="G23" s="2" t="s">
        <v>12</v>
      </c>
      <c r="H23" s="3" t="s">
        <v>72</v>
      </c>
      <c r="I23" s="10" t="s">
        <v>102</v>
      </c>
    </row>
    <row r="24" spans="1:9" ht="105" x14ac:dyDescent="0.25">
      <c r="A24" s="2">
        <v>21</v>
      </c>
      <c r="B24" s="3" t="s">
        <v>103</v>
      </c>
      <c r="C24" s="3" t="s">
        <v>104</v>
      </c>
      <c r="D24" s="3" t="s">
        <v>105</v>
      </c>
      <c r="E24" s="2">
        <v>2023</v>
      </c>
      <c r="F24" s="3" t="s">
        <v>106</v>
      </c>
      <c r="G24" s="2" t="s">
        <v>12</v>
      </c>
      <c r="H24" s="3" t="s">
        <v>38</v>
      </c>
      <c r="I24" s="10" t="str">
        <f>HYPERLINK("http://dx.doi.org/10.2174/1570180819666220523150059","http://dx.doi.org/10.2174/1570180819666220523150059")</f>
        <v>http://dx.doi.org/10.2174/1570180819666220523150059</v>
      </c>
    </row>
    <row r="25" spans="1:9" ht="90" x14ac:dyDescent="0.25">
      <c r="A25" s="2">
        <v>22</v>
      </c>
      <c r="B25" s="3" t="s">
        <v>92</v>
      </c>
      <c r="C25" s="3" t="s">
        <v>107</v>
      </c>
      <c r="D25" s="3" t="s">
        <v>108</v>
      </c>
      <c r="E25" s="2">
        <v>2019</v>
      </c>
      <c r="F25" s="3" t="s">
        <v>47</v>
      </c>
      <c r="G25" s="2" t="s">
        <v>12</v>
      </c>
      <c r="H25" s="3" t="s">
        <v>109</v>
      </c>
      <c r="I25" s="10" t="str">
        <f>HYPERLINK("http://dx.doi.org/10.13108/2019-11-4-151","http://dx.doi.org/10.13108/2019-11-4-151")</f>
        <v>http://dx.doi.org/10.13108/2019-11-4-151</v>
      </c>
    </row>
    <row r="26" spans="1:9" ht="75" x14ac:dyDescent="0.25">
      <c r="A26" s="2">
        <v>23</v>
      </c>
      <c r="B26" s="3" t="s">
        <v>110</v>
      </c>
      <c r="C26" s="3" t="s">
        <v>111</v>
      </c>
      <c r="D26" s="3" t="s">
        <v>112</v>
      </c>
      <c r="E26" s="2">
        <v>2019</v>
      </c>
      <c r="F26" s="3" t="s">
        <v>113</v>
      </c>
      <c r="G26" s="2" t="s">
        <v>12</v>
      </c>
      <c r="H26" s="3" t="s">
        <v>38</v>
      </c>
      <c r="I26" s="10" t="str">
        <f>HYPERLINK("http://dx.doi.org/10.2174/1570178616666181116113243","http://dx.doi.org/10.2174/1570178616666181116113243")</f>
        <v>http://dx.doi.org/10.2174/1570178616666181116113243</v>
      </c>
    </row>
    <row r="27" spans="1:9" ht="75" x14ac:dyDescent="0.25">
      <c r="A27" s="2">
        <v>24</v>
      </c>
      <c r="B27" s="3" t="s">
        <v>114</v>
      </c>
      <c r="C27" s="3" t="s">
        <v>115</v>
      </c>
      <c r="D27" s="3" t="s">
        <v>116</v>
      </c>
      <c r="E27" s="2">
        <v>2018</v>
      </c>
      <c r="F27" s="3" t="s">
        <v>117</v>
      </c>
      <c r="G27" s="2" t="s">
        <v>12</v>
      </c>
      <c r="H27" s="3" t="s">
        <v>72</v>
      </c>
      <c r="I27" s="10" t="s">
        <v>118</v>
      </c>
    </row>
    <row r="28" spans="1:9" ht="75" x14ac:dyDescent="0.25">
      <c r="A28" s="2">
        <v>25</v>
      </c>
      <c r="B28" s="3" t="s">
        <v>119</v>
      </c>
      <c r="C28" s="3" t="s">
        <v>56</v>
      </c>
      <c r="D28" s="3" t="s">
        <v>120</v>
      </c>
      <c r="E28" s="2">
        <v>2023</v>
      </c>
      <c r="F28" s="3" t="s">
        <v>121</v>
      </c>
      <c r="G28" s="2" t="s">
        <v>12</v>
      </c>
      <c r="H28" s="3" t="s">
        <v>122</v>
      </c>
      <c r="I28" s="10" t="str">
        <f>HYPERLINK("http://dx.doi.org/10.36868/IJCS.2023.04.12","http://dx.doi.org/10.36868/IJCS.2023.04.12")</f>
        <v>http://dx.doi.org/10.36868/IJCS.2023.04.12</v>
      </c>
    </row>
    <row r="29" spans="1:9" ht="75" x14ac:dyDescent="0.25">
      <c r="A29" s="2">
        <v>26</v>
      </c>
      <c r="B29" s="3" t="s">
        <v>123</v>
      </c>
      <c r="C29" s="3" t="s">
        <v>40</v>
      </c>
      <c r="D29" s="3" t="s">
        <v>124</v>
      </c>
      <c r="E29" s="2">
        <v>2021</v>
      </c>
      <c r="F29" s="3" t="s">
        <v>125</v>
      </c>
      <c r="G29" s="2" t="s">
        <v>12</v>
      </c>
      <c r="H29" s="3" t="s">
        <v>58</v>
      </c>
      <c r="I29" s="10" t="str">
        <f>HYPERLINK("http://dx.doi.org/10.1039/d1nj00432h","http://dx.doi.org/10.1039/d1nj00432h")</f>
        <v>http://dx.doi.org/10.1039/d1nj00432h</v>
      </c>
    </row>
    <row r="30" spans="1:9" ht="75" x14ac:dyDescent="0.25">
      <c r="A30" s="2">
        <v>27</v>
      </c>
      <c r="B30" s="3" t="s">
        <v>126</v>
      </c>
      <c r="C30" s="3" t="s">
        <v>127</v>
      </c>
      <c r="D30" s="3" t="s">
        <v>128</v>
      </c>
      <c r="E30" s="2">
        <v>2021</v>
      </c>
      <c r="F30" s="3" t="s">
        <v>129</v>
      </c>
      <c r="G30" s="2" t="s">
        <v>12</v>
      </c>
      <c r="H30" s="3" t="s">
        <v>58</v>
      </c>
      <c r="I30" s="10" t="str">
        <f>HYPERLINK("http://dx.doi.org/10.1039/d1ra01179k","http://dx.doi.org/10.1039/d1ra01179k")</f>
        <v>http://dx.doi.org/10.1039/d1ra01179k</v>
      </c>
    </row>
    <row r="31" spans="1:9" ht="60" x14ac:dyDescent="0.25">
      <c r="A31" s="2">
        <v>28</v>
      </c>
      <c r="B31" s="3" t="s">
        <v>130</v>
      </c>
      <c r="C31" s="3" t="s">
        <v>131</v>
      </c>
      <c r="D31" s="3" t="s">
        <v>132</v>
      </c>
      <c r="E31" s="2">
        <v>2020</v>
      </c>
      <c r="F31" s="3" t="s">
        <v>47</v>
      </c>
      <c r="G31" s="2" t="s">
        <v>12</v>
      </c>
      <c r="H31" s="3" t="s">
        <v>43</v>
      </c>
      <c r="I31" s="10" t="str">
        <f>HYPERLINK("http://dx.doi.org/10.3934/math.2020070","http://dx.doi.org/10.3934/math.2020070")</f>
        <v>http://dx.doi.org/10.3934/math.2020070</v>
      </c>
    </row>
    <row r="32" spans="1:9" ht="45" x14ac:dyDescent="0.25">
      <c r="A32" s="2">
        <v>29</v>
      </c>
      <c r="B32" s="3" t="s">
        <v>39</v>
      </c>
      <c r="C32" s="3" t="s">
        <v>133</v>
      </c>
      <c r="D32" s="3" t="s">
        <v>134</v>
      </c>
      <c r="E32" s="2">
        <v>2019</v>
      </c>
      <c r="F32" s="3" t="s">
        <v>135</v>
      </c>
      <c r="G32" s="2" t="s">
        <v>12</v>
      </c>
      <c r="H32" s="3" t="s">
        <v>48</v>
      </c>
      <c r="I32" s="10" t="str">
        <f>HYPERLINK("http://dx.doi.org/10.1007/s10440-018-0201-2","http://dx.doi.org/10.1007/s10440-018-0201-2")</f>
        <v>http://dx.doi.org/10.1007/s10440-018-0201-2</v>
      </c>
    </row>
    <row r="33" spans="1:9" ht="75" x14ac:dyDescent="0.25">
      <c r="A33" s="2">
        <v>30</v>
      </c>
      <c r="B33" s="3" t="s">
        <v>136</v>
      </c>
      <c r="C33" s="3" t="s">
        <v>137</v>
      </c>
      <c r="D33" s="3" t="s">
        <v>138</v>
      </c>
      <c r="E33" s="2">
        <v>2018</v>
      </c>
      <c r="F33" s="3" t="s">
        <v>139</v>
      </c>
      <c r="G33" s="2" t="s">
        <v>12</v>
      </c>
      <c r="H33" s="3" t="s">
        <v>48</v>
      </c>
      <c r="I33" s="10" t="str">
        <f>HYPERLINK("http://dx.doi.org/10.1007/s12602-017-9331-5","http://dx.doi.org/10.1007/s12602-017-9331-5")</f>
        <v>http://dx.doi.org/10.1007/s12602-017-9331-5</v>
      </c>
    </row>
    <row r="34" spans="1:9" ht="60" x14ac:dyDescent="0.25">
      <c r="A34" s="2">
        <v>31</v>
      </c>
      <c r="B34" s="3" t="s">
        <v>140</v>
      </c>
      <c r="C34" s="3" t="s">
        <v>141</v>
      </c>
      <c r="D34" s="3" t="s">
        <v>142</v>
      </c>
      <c r="E34" s="2">
        <v>2018</v>
      </c>
      <c r="F34" s="3" t="s">
        <v>143</v>
      </c>
      <c r="G34" s="2" t="s">
        <v>12</v>
      </c>
      <c r="H34" s="3" t="s">
        <v>144</v>
      </c>
      <c r="I34" s="10" t="s">
        <v>145</v>
      </c>
    </row>
    <row r="35" spans="1:9" ht="60" x14ac:dyDescent="0.25">
      <c r="A35" s="2">
        <v>32</v>
      </c>
      <c r="B35" s="3" t="s">
        <v>146</v>
      </c>
      <c r="C35" s="3" t="s">
        <v>81</v>
      </c>
      <c r="D35" s="3" t="s">
        <v>147</v>
      </c>
      <c r="E35" s="2">
        <v>2021</v>
      </c>
      <c r="F35" s="3" t="s">
        <v>148</v>
      </c>
      <c r="G35" s="2" t="s">
        <v>12</v>
      </c>
      <c r="H35" s="3" t="s">
        <v>28</v>
      </c>
      <c r="I35" s="10" t="str">
        <f>HYPERLINK("http://dx.doi.org/10.1021/acsaem.1c02755","http://dx.doi.org/10.1021/acsaem.1c02755")</f>
        <v>http://dx.doi.org/10.1021/acsaem.1c02755</v>
      </c>
    </row>
    <row r="36" spans="1:9" ht="60" x14ac:dyDescent="0.25">
      <c r="A36" s="2">
        <v>33</v>
      </c>
      <c r="B36" s="3" t="s">
        <v>149</v>
      </c>
      <c r="C36" s="3" t="s">
        <v>150</v>
      </c>
      <c r="D36" s="3" t="s">
        <v>151</v>
      </c>
      <c r="E36" s="2">
        <v>2020</v>
      </c>
      <c r="F36" s="3" t="s">
        <v>129</v>
      </c>
      <c r="G36" s="2" t="s">
        <v>12</v>
      </c>
      <c r="H36" s="3" t="s">
        <v>91</v>
      </c>
      <c r="I36" s="10" t="str">
        <f>HYPERLINK("http://dx.doi.org/10.1080/03639045.2020.1752709","http://dx.doi.org/10.1080/03639045.2020.1752709")</f>
        <v>http://dx.doi.org/10.1080/03639045.2020.1752709</v>
      </c>
    </row>
    <row r="37" spans="1:9" ht="90" x14ac:dyDescent="0.25">
      <c r="A37" s="2">
        <v>34</v>
      </c>
      <c r="B37" s="3" t="s">
        <v>152</v>
      </c>
      <c r="C37" s="3" t="s">
        <v>153</v>
      </c>
      <c r="D37" s="3" t="s">
        <v>154</v>
      </c>
      <c r="E37" s="2">
        <v>2020</v>
      </c>
      <c r="F37" s="3" t="s">
        <v>155</v>
      </c>
      <c r="G37" s="2" t="s">
        <v>12</v>
      </c>
      <c r="H37" s="3" t="s">
        <v>91</v>
      </c>
      <c r="I37" s="10" t="str">
        <f>HYPERLINK("http://dx.doi.org/10.1080/10406638.2017.1363060","http://dx.doi.org/10.1080/10406638.2017.1363060")</f>
        <v>http://dx.doi.org/10.1080/10406638.2017.1363060</v>
      </c>
    </row>
    <row r="38" spans="1:9" ht="30" x14ac:dyDescent="0.25">
      <c r="A38" s="2">
        <v>35</v>
      </c>
      <c r="B38" s="3" t="s">
        <v>156</v>
      </c>
      <c r="C38" s="3" t="s">
        <v>81</v>
      </c>
      <c r="D38" s="3" t="s">
        <v>157</v>
      </c>
      <c r="E38" s="2">
        <v>2019</v>
      </c>
      <c r="F38" s="3" t="s">
        <v>47</v>
      </c>
      <c r="G38" s="2" t="s">
        <v>12</v>
      </c>
      <c r="H38" s="3" t="s">
        <v>91</v>
      </c>
      <c r="I38" s="10" t="str">
        <f>HYPERLINK("http://dx.doi.org/10.1016/j.akcej.2018.02.005","http://dx.doi.org/10.1016/j.akcej.2018.02.005")</f>
        <v>http://dx.doi.org/10.1016/j.akcej.2018.02.005</v>
      </c>
    </row>
    <row r="39" spans="1:9" ht="90" x14ac:dyDescent="0.25">
      <c r="A39" s="2">
        <v>36</v>
      </c>
      <c r="B39" s="3" t="s">
        <v>158</v>
      </c>
      <c r="C39" s="3" t="s">
        <v>56</v>
      </c>
      <c r="D39" s="3" t="s">
        <v>159</v>
      </c>
      <c r="E39" s="2">
        <v>2018</v>
      </c>
      <c r="F39" s="3" t="s">
        <v>155</v>
      </c>
      <c r="G39" s="2" t="s">
        <v>12</v>
      </c>
      <c r="H39" s="3" t="s">
        <v>160</v>
      </c>
      <c r="I39" s="10" t="str">
        <f>HYPERLINK("http://dx.doi.org/10.12941/jksiam.2018.22.125","http://dx.doi.org/10.12941/jksiam.2018.22.125")</f>
        <v>http://dx.doi.org/10.12941/jksiam.2018.22.125</v>
      </c>
    </row>
    <row r="40" spans="1:9" ht="60" x14ac:dyDescent="0.25">
      <c r="A40" s="2">
        <v>37</v>
      </c>
      <c r="B40" s="3" t="s">
        <v>161</v>
      </c>
      <c r="C40" s="3" t="s">
        <v>81</v>
      </c>
      <c r="D40" s="3" t="s">
        <v>162</v>
      </c>
      <c r="E40" s="2">
        <v>2018</v>
      </c>
      <c r="F40" s="3" t="s">
        <v>155</v>
      </c>
      <c r="G40" s="2" t="s">
        <v>12</v>
      </c>
      <c r="H40" s="3" t="s">
        <v>91</v>
      </c>
      <c r="I40" s="10" t="str">
        <f>HYPERLINK("http://dx.doi.org/10.1080/10406638.2016.1159584","http://dx.doi.org/10.1080/10406638.2016.1159584")</f>
        <v>http://dx.doi.org/10.1080/10406638.2016.1159584</v>
      </c>
    </row>
    <row r="41" spans="1:9" ht="135" x14ac:dyDescent="0.25">
      <c r="A41" s="2">
        <v>38</v>
      </c>
      <c r="B41" s="3" t="s">
        <v>163</v>
      </c>
      <c r="C41" s="3" t="s">
        <v>164</v>
      </c>
      <c r="D41" s="3" t="s">
        <v>165</v>
      </c>
      <c r="E41" s="2">
        <v>2023</v>
      </c>
      <c r="F41" s="3" t="s">
        <v>166</v>
      </c>
      <c r="G41" s="2" t="s">
        <v>12</v>
      </c>
      <c r="H41" s="3" t="s">
        <v>58</v>
      </c>
      <c r="I41" s="10" t="str">
        <f>HYPERLINK("http://dx.doi.org/10.1039/d2ra07021a","http://dx.doi.org/10.1039/d2ra07021a")</f>
        <v>http://dx.doi.org/10.1039/d2ra07021a</v>
      </c>
    </row>
    <row r="42" spans="1:9" ht="120" x14ac:dyDescent="0.25">
      <c r="A42" s="2">
        <v>39</v>
      </c>
      <c r="B42" s="3" t="s">
        <v>167</v>
      </c>
      <c r="C42" s="3" t="s">
        <v>168</v>
      </c>
      <c r="D42" s="3" t="s">
        <v>169</v>
      </c>
      <c r="E42" s="2">
        <v>2023</v>
      </c>
      <c r="F42" s="3" t="s">
        <v>139</v>
      </c>
      <c r="G42" s="2" t="s">
        <v>12</v>
      </c>
      <c r="H42" s="3" t="s">
        <v>91</v>
      </c>
      <c r="I42" s="10" t="str">
        <f>HYPERLINK("http://dx.doi.org/10.1080/10406638.2021.2021252","http://dx.doi.org/10.1080/10406638.2021.2021252")</f>
        <v>http://dx.doi.org/10.1080/10406638.2021.2021252</v>
      </c>
    </row>
    <row r="43" spans="1:9" ht="60" x14ac:dyDescent="0.25">
      <c r="A43" s="2">
        <v>40</v>
      </c>
      <c r="B43" s="3" t="s">
        <v>170</v>
      </c>
      <c r="C43" s="3" t="s">
        <v>171</v>
      </c>
      <c r="D43" s="3" t="s">
        <v>172</v>
      </c>
      <c r="E43" s="2">
        <v>2021</v>
      </c>
      <c r="F43" s="3" t="s">
        <v>173</v>
      </c>
      <c r="G43" s="2" t="s">
        <v>12</v>
      </c>
      <c r="H43" s="3" t="s">
        <v>72</v>
      </c>
      <c r="I43" s="10" t="str">
        <f>HYPERLINK("http://dx.doi.org/10.1109/MTICTI53925.2021.9664767","http://dx.doi.org/10.1109/MTICTI53925.2021.9664767")</f>
        <v>http://dx.doi.org/10.1109/MTICTI53925.2021.9664767</v>
      </c>
    </row>
    <row r="44" spans="1:9" ht="75" x14ac:dyDescent="0.25">
      <c r="A44" s="2">
        <v>41</v>
      </c>
      <c r="B44" s="3" t="s">
        <v>174</v>
      </c>
      <c r="C44" s="3" t="s">
        <v>153</v>
      </c>
      <c r="D44" s="3" t="s">
        <v>175</v>
      </c>
      <c r="E44" s="2">
        <v>2020</v>
      </c>
      <c r="F44" s="3" t="s">
        <v>129</v>
      </c>
      <c r="G44" s="2" t="s">
        <v>12</v>
      </c>
      <c r="H44" s="3" t="s">
        <v>176</v>
      </c>
      <c r="I44" s="10" t="str">
        <f>HYPERLINK("http://dx.doi.org/10.22438/jeb/41/2/MRN-1033","http://dx.doi.org/10.22438/jeb/41/2/MRN-1033")</f>
        <v>http://dx.doi.org/10.22438/jeb/41/2/MRN-1033</v>
      </c>
    </row>
    <row r="45" spans="1:9" ht="60" x14ac:dyDescent="0.25">
      <c r="A45" s="2">
        <v>42</v>
      </c>
      <c r="B45" s="3" t="s">
        <v>177</v>
      </c>
      <c r="C45" s="3" t="s">
        <v>178</v>
      </c>
      <c r="D45" s="3" t="s">
        <v>179</v>
      </c>
      <c r="E45" s="2">
        <v>2019</v>
      </c>
      <c r="F45" s="3" t="s">
        <v>180</v>
      </c>
      <c r="G45" s="2" t="s">
        <v>12</v>
      </c>
      <c r="H45" s="3" t="s">
        <v>181</v>
      </c>
      <c r="I45" s="10" t="str">
        <f>HYPERLINK("http://dx.doi.org/10.1016/j.ijhydene.2019.08.147","http://dx.doi.org/10.1016/j.ijhydene.2019.08.147")</f>
        <v>http://dx.doi.org/10.1016/j.ijhydene.2019.08.147</v>
      </c>
    </row>
    <row r="46" spans="1:9" ht="90" x14ac:dyDescent="0.25">
      <c r="A46" s="2">
        <v>43</v>
      </c>
      <c r="B46" s="3" t="s">
        <v>182</v>
      </c>
      <c r="C46" s="3" t="s">
        <v>183</v>
      </c>
      <c r="D46" s="3" t="s">
        <v>184</v>
      </c>
      <c r="E46" s="2">
        <v>2019</v>
      </c>
      <c r="F46" s="3" t="s">
        <v>185</v>
      </c>
      <c r="G46" s="2" t="s">
        <v>12</v>
      </c>
      <c r="H46" s="3" t="s">
        <v>160</v>
      </c>
      <c r="I46" s="10" t="str">
        <f>HYPERLINK("http://dx.doi.org/10.12941/jksiam.2019.23.253","http://dx.doi.org/10.12941/jksiam.2019.23.253")</f>
        <v>http://dx.doi.org/10.12941/jksiam.2019.23.253</v>
      </c>
    </row>
    <row r="47" spans="1:9" ht="90" x14ac:dyDescent="0.25">
      <c r="A47" s="2">
        <v>44</v>
      </c>
      <c r="B47" s="3" t="s">
        <v>186</v>
      </c>
      <c r="C47" s="3" t="s">
        <v>187</v>
      </c>
      <c r="D47" s="3" t="s">
        <v>188</v>
      </c>
      <c r="E47" s="2">
        <v>2019</v>
      </c>
      <c r="F47" s="3" t="s">
        <v>189</v>
      </c>
      <c r="G47" s="2" t="s">
        <v>12</v>
      </c>
      <c r="H47" s="3" t="s">
        <v>190</v>
      </c>
      <c r="I47" s="10" t="str">
        <f>HYPERLINK("http://dx.doi.org/10.12944/CRNFSJ.7.2.12","http://dx.doi.org/10.12944/CRNFSJ.7.2.12")</f>
        <v>http://dx.doi.org/10.12944/CRNFSJ.7.2.12</v>
      </c>
    </row>
    <row r="48" spans="1:9" ht="60" x14ac:dyDescent="0.25">
      <c r="A48" s="2">
        <v>45</v>
      </c>
      <c r="B48" s="3" t="s">
        <v>191</v>
      </c>
      <c r="C48" s="3" t="s">
        <v>192</v>
      </c>
      <c r="D48" s="3" t="s">
        <v>193</v>
      </c>
      <c r="E48" s="2">
        <v>2019</v>
      </c>
      <c r="F48" s="3" t="s">
        <v>194</v>
      </c>
      <c r="G48" s="2" t="s">
        <v>12</v>
      </c>
      <c r="H48" s="3" t="s">
        <v>48</v>
      </c>
      <c r="I48" s="10" t="str">
        <f>HYPERLINK("http://dx.doi.org/10.1007/s13738-018-1571-0","http://dx.doi.org/10.1007/s13738-018-1571-0")</f>
        <v>http://dx.doi.org/10.1007/s13738-018-1571-0</v>
      </c>
    </row>
    <row r="49" spans="1:9" ht="45" x14ac:dyDescent="0.25">
      <c r="A49" s="2">
        <v>46</v>
      </c>
      <c r="B49" s="3" t="s">
        <v>195</v>
      </c>
      <c r="C49" s="3" t="s">
        <v>196</v>
      </c>
      <c r="D49" s="3" t="s">
        <v>197</v>
      </c>
      <c r="E49" s="2">
        <v>2019</v>
      </c>
      <c r="F49" s="3" t="s">
        <v>198</v>
      </c>
      <c r="G49" s="2" t="s">
        <v>12</v>
      </c>
      <c r="H49" s="3" t="s">
        <v>18</v>
      </c>
      <c r="I49" s="10" t="str">
        <f>HYPERLINK("http://dx.doi.org/10.1007/978-981-10-7641-1_11","http://dx.doi.org/10.1007/978-981-10-7641-1_11")</f>
        <v>http://dx.doi.org/10.1007/978-981-10-7641-1_11</v>
      </c>
    </row>
    <row r="50" spans="1:9" ht="60" x14ac:dyDescent="0.25">
      <c r="A50" s="2">
        <v>47</v>
      </c>
      <c r="B50" s="3" t="s">
        <v>199</v>
      </c>
      <c r="C50" s="3" t="s">
        <v>200</v>
      </c>
      <c r="D50" s="3" t="s">
        <v>201</v>
      </c>
      <c r="E50" s="2">
        <v>2018</v>
      </c>
      <c r="F50" s="3" t="s">
        <v>194</v>
      </c>
      <c r="G50" s="2" t="s">
        <v>12</v>
      </c>
      <c r="H50" s="3" t="s">
        <v>72</v>
      </c>
      <c r="I50" s="10" t="s">
        <v>202</v>
      </c>
    </row>
    <row r="51" spans="1:9" ht="90" x14ac:dyDescent="0.25">
      <c r="A51" s="2">
        <v>48</v>
      </c>
      <c r="B51" s="3" t="s">
        <v>203</v>
      </c>
      <c r="C51" s="3" t="s">
        <v>164</v>
      </c>
      <c r="D51" s="3" t="s">
        <v>204</v>
      </c>
      <c r="E51" s="2">
        <v>2023</v>
      </c>
      <c r="F51" s="3" t="s">
        <v>42</v>
      </c>
      <c r="G51" s="2" t="s">
        <v>12</v>
      </c>
      <c r="H51" s="3" t="s">
        <v>205</v>
      </c>
      <c r="I51" s="10" t="str">
        <f>HYPERLINK("http://dx.doi.org/10.1080/00397911.2023.2239394","http://dx.doi.org/10.1080/00397911.2023.2239394")</f>
        <v>http://dx.doi.org/10.1080/00397911.2023.2239394</v>
      </c>
    </row>
    <row r="52" spans="1:9" ht="120" x14ac:dyDescent="0.25">
      <c r="A52" s="2">
        <v>49</v>
      </c>
      <c r="B52" s="3" t="s">
        <v>206</v>
      </c>
      <c r="C52" s="3" t="s">
        <v>207</v>
      </c>
      <c r="D52" s="3" t="s">
        <v>208</v>
      </c>
      <c r="E52" s="2">
        <v>2022</v>
      </c>
      <c r="F52" s="3" t="s">
        <v>209</v>
      </c>
      <c r="G52" s="2" t="s">
        <v>12</v>
      </c>
      <c r="H52" s="3" t="s">
        <v>67</v>
      </c>
      <c r="I52" s="10" t="str">
        <f>HYPERLINK("http://dx.doi.org/10.1002/jctb.7071","http://dx.doi.org/10.1002/jctb.7071")</f>
        <v>http://dx.doi.org/10.1002/jctb.7071</v>
      </c>
    </row>
    <row r="53" spans="1:9" ht="90" x14ac:dyDescent="0.25">
      <c r="A53" s="2">
        <v>50</v>
      </c>
      <c r="B53" s="3" t="s">
        <v>210</v>
      </c>
      <c r="C53" s="3" t="s">
        <v>211</v>
      </c>
      <c r="D53" s="3" t="s">
        <v>212</v>
      </c>
      <c r="E53" s="2">
        <v>2021</v>
      </c>
      <c r="F53" s="3" t="s">
        <v>47</v>
      </c>
      <c r="G53" s="2" t="s">
        <v>12</v>
      </c>
      <c r="H53" s="3" t="s">
        <v>48</v>
      </c>
      <c r="I53" s="10" t="str">
        <f>HYPERLINK("http://dx.doi.org/10.1007/s10967-020-07556-0","http://dx.doi.org/10.1007/s10967-020-07556-0")</f>
        <v>http://dx.doi.org/10.1007/s10967-020-07556-0</v>
      </c>
    </row>
    <row r="54" spans="1:9" ht="60" x14ac:dyDescent="0.25">
      <c r="A54" s="2">
        <v>51</v>
      </c>
      <c r="B54" s="3" t="s">
        <v>170</v>
      </c>
      <c r="C54" s="3" t="s">
        <v>213</v>
      </c>
      <c r="D54" s="3" t="s">
        <v>214</v>
      </c>
      <c r="E54" s="2">
        <v>2021</v>
      </c>
      <c r="F54" s="3" t="s">
        <v>215</v>
      </c>
      <c r="G54" s="2" t="s">
        <v>12</v>
      </c>
      <c r="H54" s="3" t="s">
        <v>72</v>
      </c>
      <c r="I54" s="10" t="str">
        <f>HYPERLINK("http://dx.doi.org/10.1109/MTICTI53925.2021.9664764","http://dx.doi.org/10.1109/MTICTI53925.2021.9664764")</f>
        <v>http://dx.doi.org/10.1109/MTICTI53925.2021.9664764</v>
      </c>
    </row>
    <row r="55" spans="1:9" ht="60" x14ac:dyDescent="0.25">
      <c r="A55" s="2">
        <v>52</v>
      </c>
      <c r="B55" s="3" t="s">
        <v>130</v>
      </c>
      <c r="C55" s="3" t="s">
        <v>20</v>
      </c>
      <c r="D55" s="3" t="s">
        <v>216</v>
      </c>
      <c r="E55" s="2">
        <v>2021</v>
      </c>
      <c r="F55" s="3" t="s">
        <v>129</v>
      </c>
      <c r="G55" s="2" t="s">
        <v>12</v>
      </c>
      <c r="H55" s="3" t="s">
        <v>217</v>
      </c>
      <c r="I55" s="10" t="str">
        <f>HYPERLINK("http://dx.doi.org/10.1007/s12215-020-00539-w","http://dx.doi.org/10.1007/s12215-020-00539-w")</f>
        <v>http://dx.doi.org/10.1007/s12215-020-00539-w</v>
      </c>
    </row>
    <row r="56" spans="1:9" ht="75" x14ac:dyDescent="0.25">
      <c r="A56" s="2">
        <v>53</v>
      </c>
      <c r="B56" s="3" t="s">
        <v>218</v>
      </c>
      <c r="C56" s="3" t="s">
        <v>219</v>
      </c>
      <c r="D56" s="3" t="s">
        <v>220</v>
      </c>
      <c r="E56" s="2">
        <v>2019</v>
      </c>
      <c r="F56" s="3" t="s">
        <v>221</v>
      </c>
      <c r="G56" s="2" t="s">
        <v>12</v>
      </c>
      <c r="H56" s="3" t="s">
        <v>48</v>
      </c>
      <c r="I56" s="10" t="str">
        <f>HYPERLINK("http://dx.doi.org/10.1007/s10854-019-01976-9","http://dx.doi.org/10.1007/s10854-019-01976-9")</f>
        <v>http://dx.doi.org/10.1007/s10854-019-01976-9</v>
      </c>
    </row>
    <row r="57" spans="1:9" ht="105" x14ac:dyDescent="0.25">
      <c r="A57" s="2">
        <v>54</v>
      </c>
      <c r="B57" s="3" t="s">
        <v>222</v>
      </c>
      <c r="C57" s="3" t="s">
        <v>45</v>
      </c>
      <c r="D57" s="3" t="s">
        <v>223</v>
      </c>
      <c r="E57" s="2">
        <v>2023</v>
      </c>
      <c r="F57" s="3" t="s">
        <v>224</v>
      </c>
      <c r="G57" s="2" t="s">
        <v>12</v>
      </c>
      <c r="H57" s="3" t="s">
        <v>48</v>
      </c>
      <c r="I57" s="10" t="str">
        <f>HYPERLINK("http://dx.doi.org/10.1007/s41315-022-00268-6","http://dx.doi.org/10.1007/s41315-022-00268-6")</f>
        <v>http://dx.doi.org/10.1007/s41315-022-00268-6</v>
      </c>
    </row>
    <row r="58" spans="1:9" ht="75" x14ac:dyDescent="0.25">
      <c r="A58" s="2">
        <v>55</v>
      </c>
      <c r="B58" s="3" t="s">
        <v>74</v>
      </c>
      <c r="C58" s="3" t="s">
        <v>225</v>
      </c>
      <c r="D58" s="3" t="s">
        <v>226</v>
      </c>
      <c r="E58" s="2">
        <v>2021</v>
      </c>
      <c r="F58" s="3" t="s">
        <v>155</v>
      </c>
      <c r="G58" s="2" t="s">
        <v>12</v>
      </c>
      <c r="H58" s="3" t="s">
        <v>23</v>
      </c>
      <c r="I58" s="10" t="str">
        <f>HYPERLINK("http://dx.doi.org/10.1002/slct.202100608","http://dx.doi.org/10.1002/slct.202100608")</f>
        <v>http://dx.doi.org/10.1002/slct.202100608</v>
      </c>
    </row>
    <row r="59" spans="1:9" ht="120" x14ac:dyDescent="0.25">
      <c r="A59" s="2">
        <v>56</v>
      </c>
      <c r="B59" s="3" t="s">
        <v>227</v>
      </c>
      <c r="C59" s="3" t="s">
        <v>228</v>
      </c>
      <c r="D59" s="3" t="s">
        <v>229</v>
      </c>
      <c r="E59" s="2">
        <v>2021</v>
      </c>
      <c r="F59" s="3" t="s">
        <v>230</v>
      </c>
      <c r="G59" s="2" t="s">
        <v>12</v>
      </c>
      <c r="H59" s="3" t="s">
        <v>28</v>
      </c>
      <c r="I59" s="10" t="str">
        <f>HYPERLINK("http://dx.doi.org/10.1021/acs.jpcc.0c10668","http://dx.doi.org/10.1021/acs.jpcc.0c10668")</f>
        <v>http://dx.doi.org/10.1021/acs.jpcc.0c10668</v>
      </c>
    </row>
    <row r="60" spans="1:9" ht="90" x14ac:dyDescent="0.25">
      <c r="A60" s="2">
        <v>57</v>
      </c>
      <c r="B60" s="3" t="s">
        <v>44</v>
      </c>
      <c r="C60" s="3" t="s">
        <v>231</v>
      </c>
      <c r="D60" s="3" t="s">
        <v>232</v>
      </c>
      <c r="E60" s="2">
        <v>2021</v>
      </c>
      <c r="F60" s="3" t="s">
        <v>155</v>
      </c>
      <c r="G60" s="2" t="s">
        <v>12</v>
      </c>
      <c r="H60" s="3" t="s">
        <v>48</v>
      </c>
      <c r="I60" s="10" t="str">
        <f>HYPERLINK("http://dx.doi.org/10.1007/s11164-020-04353-y","http://dx.doi.org/10.1007/s11164-020-04353-y")</f>
        <v>http://dx.doi.org/10.1007/s11164-020-04353-y</v>
      </c>
    </row>
    <row r="61" spans="1:9" ht="75" x14ac:dyDescent="0.25">
      <c r="A61" s="2">
        <v>58</v>
      </c>
      <c r="B61" s="3" t="s">
        <v>233</v>
      </c>
      <c r="C61" s="3" t="s">
        <v>234</v>
      </c>
      <c r="D61" s="3" t="s">
        <v>235</v>
      </c>
      <c r="E61" s="2">
        <v>2020</v>
      </c>
      <c r="F61" s="3" t="s">
        <v>236</v>
      </c>
      <c r="G61" s="2" t="s">
        <v>12</v>
      </c>
      <c r="H61" s="3" t="s">
        <v>18</v>
      </c>
      <c r="I61" s="10" t="str">
        <f>HYPERLINK("http://dx.doi.org/10.1007/978-3-030-37218-7_116","http://dx.doi.org/10.1007/978-3-030-37218-7_116")</f>
        <v>http://dx.doi.org/10.1007/978-3-030-37218-7_116</v>
      </c>
    </row>
    <row r="62" spans="1:9" ht="75" x14ac:dyDescent="0.25">
      <c r="A62" s="2">
        <v>59</v>
      </c>
      <c r="B62" s="3" t="s">
        <v>237</v>
      </c>
      <c r="C62" s="3" t="s">
        <v>207</v>
      </c>
      <c r="D62" s="3" t="s">
        <v>238</v>
      </c>
      <c r="E62" s="2">
        <v>2021</v>
      </c>
      <c r="F62" s="3" t="s">
        <v>47</v>
      </c>
      <c r="G62" s="2" t="s">
        <v>12</v>
      </c>
      <c r="H62" s="3" t="s">
        <v>58</v>
      </c>
      <c r="I62" s="10" t="str">
        <f>HYPERLINK("http://dx.doi.org/10.1039/d0nj05479h","http://dx.doi.org/10.1039/d0nj05479h")</f>
        <v>http://dx.doi.org/10.1039/d0nj05479h</v>
      </c>
    </row>
    <row r="63" spans="1:9" ht="60" x14ac:dyDescent="0.25">
      <c r="A63" s="2">
        <v>60</v>
      </c>
      <c r="B63" s="3" t="s">
        <v>239</v>
      </c>
      <c r="C63" s="3" t="s">
        <v>240</v>
      </c>
      <c r="D63" s="3" t="s">
        <v>241</v>
      </c>
      <c r="E63" s="2">
        <v>2021</v>
      </c>
      <c r="F63" s="3" t="s">
        <v>139</v>
      </c>
      <c r="G63" s="2" t="s">
        <v>12</v>
      </c>
      <c r="H63" s="3" t="s">
        <v>43</v>
      </c>
      <c r="I63" s="10" t="str">
        <f>HYPERLINK("http://dx.doi.org/10.3934/mfc.2021002","http://dx.doi.org/10.3934/mfc.2021002")</f>
        <v>http://dx.doi.org/10.3934/mfc.2021002</v>
      </c>
    </row>
    <row r="64" spans="1:9" ht="60" x14ac:dyDescent="0.25">
      <c r="A64" s="2">
        <v>61</v>
      </c>
      <c r="B64" s="3" t="s">
        <v>242</v>
      </c>
      <c r="C64" s="3" t="s">
        <v>243</v>
      </c>
      <c r="D64" s="3" t="s">
        <v>244</v>
      </c>
      <c r="E64" s="2">
        <v>2021</v>
      </c>
      <c r="F64" s="3" t="s">
        <v>148</v>
      </c>
      <c r="G64" s="2" t="s">
        <v>12</v>
      </c>
      <c r="H64" s="3" t="s">
        <v>245</v>
      </c>
      <c r="I64" s="10" t="str">
        <f>HYPERLINK("http://dx.doi.org/10.24193/subbmath.2021.4.09","http://dx.doi.org/10.24193/subbmath.2021.4.09")</f>
        <v>http://dx.doi.org/10.24193/subbmath.2021.4.09</v>
      </c>
    </row>
    <row r="65" spans="1:9" ht="105" x14ac:dyDescent="0.25">
      <c r="A65" s="2">
        <v>62</v>
      </c>
      <c r="B65" s="3" t="s">
        <v>246</v>
      </c>
      <c r="C65" s="3" t="s">
        <v>247</v>
      </c>
      <c r="D65" s="3" t="s">
        <v>248</v>
      </c>
      <c r="E65" s="2">
        <v>2018</v>
      </c>
      <c r="F65" s="3" t="s">
        <v>249</v>
      </c>
      <c r="G65" s="2" t="s">
        <v>12</v>
      </c>
      <c r="H65" s="3" t="s">
        <v>250</v>
      </c>
      <c r="I65" s="10" t="str">
        <f>HYPERLINK("http://dx.doi.org/10.5556/j.tkjm.49.2018.2718","http://dx.doi.org/10.5556/j.tkjm.49.2018.2718")</f>
        <v>http://dx.doi.org/10.5556/j.tkjm.49.2018.2718</v>
      </c>
    </row>
    <row r="66" spans="1:9" ht="60" x14ac:dyDescent="0.25">
      <c r="A66" s="2">
        <v>63</v>
      </c>
      <c r="B66" s="3" t="s">
        <v>251</v>
      </c>
      <c r="C66" s="3" t="s">
        <v>20</v>
      </c>
      <c r="D66" s="3" t="s">
        <v>252</v>
      </c>
      <c r="E66" s="2">
        <v>2021</v>
      </c>
      <c r="F66" s="3" t="s">
        <v>253</v>
      </c>
      <c r="G66" s="2" t="s">
        <v>12</v>
      </c>
      <c r="H66" s="3" t="s">
        <v>217</v>
      </c>
      <c r="I66" s="10" t="str">
        <f>HYPERLINK("http://dx.doi.org/10.1007/s12215-020-00484-8","http://dx.doi.org/10.1007/s12215-020-00484-8")</f>
        <v>http://dx.doi.org/10.1007/s12215-020-00484-8</v>
      </c>
    </row>
    <row r="67" spans="1:9" ht="90" x14ac:dyDescent="0.25">
      <c r="A67" s="2">
        <v>64</v>
      </c>
      <c r="B67" s="3" t="s">
        <v>254</v>
      </c>
      <c r="C67" s="3" t="s">
        <v>60</v>
      </c>
      <c r="D67" s="3" t="s">
        <v>255</v>
      </c>
      <c r="E67" s="2">
        <v>2020</v>
      </c>
      <c r="F67" s="3" t="s">
        <v>180</v>
      </c>
      <c r="G67" s="2" t="s">
        <v>12</v>
      </c>
      <c r="H67" s="3" t="s">
        <v>256</v>
      </c>
      <c r="I67" s="10" t="str">
        <f>HYPERLINK("http://dx.doi.org/10.17807/orbital.v12i1.1420","http://dx.doi.org/10.17807/orbital.v12i1.1420")</f>
        <v>http://dx.doi.org/10.17807/orbital.v12i1.1420</v>
      </c>
    </row>
    <row r="68" spans="1:9" ht="75" x14ac:dyDescent="0.25">
      <c r="A68" s="2">
        <v>65</v>
      </c>
      <c r="B68" s="3" t="s">
        <v>257</v>
      </c>
      <c r="C68" s="3" t="s">
        <v>258</v>
      </c>
      <c r="D68" s="3" t="s">
        <v>259</v>
      </c>
      <c r="E68" s="2">
        <v>2019</v>
      </c>
      <c r="F68" s="3" t="s">
        <v>189</v>
      </c>
      <c r="G68" s="2" t="s">
        <v>12</v>
      </c>
      <c r="H68" s="3" t="s">
        <v>260</v>
      </c>
      <c r="I68" s="12" t="s">
        <v>3204</v>
      </c>
    </row>
    <row r="69" spans="1:9" ht="60" x14ac:dyDescent="0.25">
      <c r="A69" s="2">
        <v>66</v>
      </c>
      <c r="B69" s="3" t="s">
        <v>39</v>
      </c>
      <c r="C69" s="3" t="s">
        <v>85</v>
      </c>
      <c r="D69" s="3" t="s">
        <v>262</v>
      </c>
      <c r="E69" s="2">
        <v>2021</v>
      </c>
      <c r="F69" s="3" t="s">
        <v>148</v>
      </c>
      <c r="G69" s="2" t="s">
        <v>12</v>
      </c>
      <c r="H69" s="3" t="s">
        <v>263</v>
      </c>
      <c r="I69" s="10" t="str">
        <f>HYPERLINK("http://dx.doi.org/10.1007/s43036-020-00114-1","http://dx.doi.org/10.1007/s43036-020-00114-1")</f>
        <v>http://dx.doi.org/10.1007/s43036-020-00114-1</v>
      </c>
    </row>
    <row r="70" spans="1:9" ht="60" x14ac:dyDescent="0.25">
      <c r="A70" s="2">
        <v>67</v>
      </c>
      <c r="B70" s="3" t="s">
        <v>264</v>
      </c>
      <c r="C70" s="3" t="s">
        <v>265</v>
      </c>
      <c r="D70" s="3" t="s">
        <v>266</v>
      </c>
      <c r="E70" s="2">
        <v>2020</v>
      </c>
      <c r="F70" s="3" t="s">
        <v>267</v>
      </c>
      <c r="G70" s="2" t="s">
        <v>12</v>
      </c>
      <c r="H70" s="3" t="s">
        <v>23</v>
      </c>
      <c r="I70" s="10" t="str">
        <f>HYPERLINK("http://dx.doi.org/10.1002/slct.202000744","http://dx.doi.org/10.1002/slct.202000744")</f>
        <v>http://dx.doi.org/10.1002/slct.202000744</v>
      </c>
    </row>
    <row r="71" spans="1:9" ht="90" x14ac:dyDescent="0.25">
      <c r="A71" s="2">
        <v>68</v>
      </c>
      <c r="B71" s="3" t="s">
        <v>268</v>
      </c>
      <c r="C71" s="3" t="s">
        <v>56</v>
      </c>
      <c r="D71" s="3" t="s">
        <v>269</v>
      </c>
      <c r="E71" s="2">
        <v>2020</v>
      </c>
      <c r="F71" s="3" t="s">
        <v>42</v>
      </c>
      <c r="G71" s="2" t="s">
        <v>12</v>
      </c>
      <c r="H71" s="3" t="s">
        <v>67</v>
      </c>
      <c r="I71" s="10" t="str">
        <f>HYPERLINK("http://dx.doi.org/10.1002/jhet.3938","http://dx.doi.org/10.1002/jhet.3938")</f>
        <v>http://dx.doi.org/10.1002/jhet.3938</v>
      </c>
    </row>
    <row r="72" spans="1:9" ht="135" x14ac:dyDescent="0.25">
      <c r="A72" s="2">
        <v>69</v>
      </c>
      <c r="B72" s="3" t="s">
        <v>186</v>
      </c>
      <c r="C72" s="3" t="s">
        <v>81</v>
      </c>
      <c r="D72" s="3" t="s">
        <v>270</v>
      </c>
      <c r="E72" s="2">
        <v>2020</v>
      </c>
      <c r="F72" s="3" t="s">
        <v>271</v>
      </c>
      <c r="G72" s="2" t="s">
        <v>12</v>
      </c>
      <c r="H72" s="3" t="s">
        <v>48</v>
      </c>
      <c r="I72" s="10" t="str">
        <f>HYPERLINK("http://dx.doi.org/10.1007/s11694-019-00304-3","http://dx.doi.org/10.1007/s11694-019-00304-3")</f>
        <v>http://dx.doi.org/10.1007/s11694-019-00304-3</v>
      </c>
    </row>
    <row r="73" spans="1:9" ht="90" x14ac:dyDescent="0.25">
      <c r="A73" s="2">
        <v>70</v>
      </c>
      <c r="B73" s="3" t="s">
        <v>272</v>
      </c>
      <c r="C73" s="3" t="s">
        <v>164</v>
      </c>
      <c r="D73" s="3" t="s">
        <v>273</v>
      </c>
      <c r="E73" s="2">
        <v>2021</v>
      </c>
      <c r="F73" s="3" t="s">
        <v>236</v>
      </c>
      <c r="G73" s="2" t="s">
        <v>12</v>
      </c>
      <c r="H73" s="3" t="s">
        <v>96</v>
      </c>
      <c r="I73" s="10" t="str">
        <f>HYPERLINK("http://dx.doi.org/10.30495/JME.2021.1566","http://dx.doi.org/10.30495/JME.2021.1566")</f>
        <v>http://dx.doi.org/10.30495/JME.2021.1566</v>
      </c>
    </row>
    <row r="74" spans="1:9" ht="135" x14ac:dyDescent="0.25">
      <c r="A74" s="2">
        <v>71</v>
      </c>
      <c r="B74" s="3" t="s">
        <v>274</v>
      </c>
      <c r="C74" s="3" t="s">
        <v>275</v>
      </c>
      <c r="D74" s="3" t="s">
        <v>276</v>
      </c>
      <c r="E74" s="2">
        <v>2020</v>
      </c>
      <c r="F74" s="3" t="s">
        <v>42</v>
      </c>
      <c r="G74" s="2" t="s">
        <v>12</v>
      </c>
      <c r="H74" s="3" t="s">
        <v>277</v>
      </c>
      <c r="I74" s="10" t="str">
        <f>HYPERLINK("http://dx.doi.org/10.1016/j.jksus.2019.01.004","http://dx.doi.org/10.1016/j.jksus.2019.01.004")</f>
        <v>http://dx.doi.org/10.1016/j.jksus.2019.01.004</v>
      </c>
    </row>
    <row r="75" spans="1:9" ht="150" x14ac:dyDescent="0.25">
      <c r="A75" s="2">
        <v>72</v>
      </c>
      <c r="B75" s="3" t="s">
        <v>163</v>
      </c>
      <c r="C75" s="3" t="s">
        <v>278</v>
      </c>
      <c r="D75" s="3" t="s">
        <v>279</v>
      </c>
      <c r="E75" s="2">
        <v>2023</v>
      </c>
      <c r="F75" s="3" t="s">
        <v>189</v>
      </c>
      <c r="G75" s="2" t="s">
        <v>12</v>
      </c>
      <c r="H75" s="3" t="s">
        <v>58</v>
      </c>
      <c r="I75" s="10" t="str">
        <f>HYPERLINK("http://dx.doi.org/10.1039/d3ra03542e","http://dx.doi.org/10.1039/d3ra03542e")</f>
        <v>http://dx.doi.org/10.1039/d3ra03542e</v>
      </c>
    </row>
    <row r="76" spans="1:9" ht="105" x14ac:dyDescent="0.25">
      <c r="A76" s="2">
        <v>73</v>
      </c>
      <c r="B76" s="3" t="s">
        <v>88</v>
      </c>
      <c r="C76" s="3" t="s">
        <v>153</v>
      </c>
      <c r="D76" s="3" t="s">
        <v>280</v>
      </c>
      <c r="E76" s="2">
        <v>2022</v>
      </c>
      <c r="F76" s="3" t="s">
        <v>281</v>
      </c>
      <c r="G76" s="2" t="s">
        <v>12</v>
      </c>
      <c r="H76" s="3" t="s">
        <v>91</v>
      </c>
      <c r="I76" s="10" t="str">
        <f>HYPERLINK("http://dx.doi.org/10.1080/10406638.2021.1886125","http://dx.doi.org/10.1080/10406638.2021.1886125")</f>
        <v>http://dx.doi.org/10.1080/10406638.2021.1886125</v>
      </c>
    </row>
    <row r="77" spans="1:9" ht="60" x14ac:dyDescent="0.25">
      <c r="A77" s="2">
        <v>74</v>
      </c>
      <c r="B77" s="3" t="s">
        <v>170</v>
      </c>
      <c r="C77" s="3" t="s">
        <v>282</v>
      </c>
      <c r="D77" s="3" t="s">
        <v>283</v>
      </c>
      <c r="E77" s="2">
        <v>2021</v>
      </c>
      <c r="F77" s="3" t="s">
        <v>284</v>
      </c>
      <c r="G77" s="2" t="s">
        <v>12</v>
      </c>
      <c r="H77" s="3" t="s">
        <v>72</v>
      </c>
      <c r="I77" s="10" t="str">
        <f>HYPERLINK("http://dx.doi.org/10.1109/MTICTI53925.2021.9664758","http://dx.doi.org/10.1109/MTICTI53925.2021.9664758")</f>
        <v>http://dx.doi.org/10.1109/MTICTI53925.2021.9664758</v>
      </c>
    </row>
    <row r="78" spans="1:9" ht="60" x14ac:dyDescent="0.25">
      <c r="A78" s="2">
        <v>75</v>
      </c>
      <c r="B78" s="3" t="s">
        <v>285</v>
      </c>
      <c r="C78" s="3" t="s">
        <v>286</v>
      </c>
      <c r="D78" s="3" t="s">
        <v>287</v>
      </c>
      <c r="E78" s="2">
        <v>2020</v>
      </c>
      <c r="F78" s="3" t="s">
        <v>47</v>
      </c>
      <c r="G78" s="2" t="s">
        <v>12</v>
      </c>
      <c r="H78" s="3" t="s">
        <v>288</v>
      </c>
      <c r="I78" s="10" t="str">
        <f>HYPERLINK("http://dx.doi.org/10.1080/23311975.2020.1847990","http://dx.doi.org/10.1080/23311975.2020.1847990")</f>
        <v>http://dx.doi.org/10.1080/23311975.2020.1847990</v>
      </c>
    </row>
    <row r="79" spans="1:9" ht="75" x14ac:dyDescent="0.25">
      <c r="A79" s="2">
        <v>76</v>
      </c>
      <c r="B79" s="3" t="s">
        <v>289</v>
      </c>
      <c r="C79" s="3" t="s">
        <v>290</v>
      </c>
      <c r="D79" s="3" t="s">
        <v>291</v>
      </c>
      <c r="E79" s="2">
        <v>2018</v>
      </c>
      <c r="F79" s="3" t="s">
        <v>189</v>
      </c>
      <c r="G79" s="2" t="s">
        <v>12</v>
      </c>
      <c r="H79" s="3" t="s">
        <v>292</v>
      </c>
      <c r="I79" s="10" t="str">
        <f>HYPERLINK("http://dx.doi.org/10.9767/bcrec.13.3.2062.436-446","http://dx.doi.org/10.9767/bcrec.13.3.2062.436-446")</f>
        <v>http://dx.doi.org/10.9767/bcrec.13.3.2062.436-446</v>
      </c>
    </row>
    <row r="80" spans="1:9" ht="75" x14ac:dyDescent="0.25">
      <c r="A80" s="2">
        <v>77</v>
      </c>
      <c r="B80" s="3" t="s">
        <v>293</v>
      </c>
      <c r="C80" s="3" t="s">
        <v>192</v>
      </c>
      <c r="D80" s="3" t="s">
        <v>294</v>
      </c>
      <c r="E80" s="2">
        <v>2018</v>
      </c>
      <c r="F80" s="3" t="s">
        <v>42</v>
      </c>
      <c r="G80" s="2" t="s">
        <v>12</v>
      </c>
      <c r="H80" s="3" t="s">
        <v>160</v>
      </c>
      <c r="I80" s="10" t="str">
        <f>HYPERLINK("http://dx.doi.org/10.12941/jksiam.2018.22.063","http://dx.doi.org/10.12941/jksiam.2018.22.063")</f>
        <v>http://dx.doi.org/10.12941/jksiam.2018.22.063</v>
      </c>
    </row>
    <row r="81" spans="1:9" ht="105" x14ac:dyDescent="0.25">
      <c r="A81" s="2">
        <v>78</v>
      </c>
      <c r="B81" s="3" t="s">
        <v>295</v>
      </c>
      <c r="C81" s="3" t="s">
        <v>296</v>
      </c>
      <c r="D81" s="3" t="s">
        <v>297</v>
      </c>
      <c r="E81" s="2">
        <v>2022</v>
      </c>
      <c r="F81" s="3" t="s">
        <v>129</v>
      </c>
      <c r="G81" s="2" t="s">
        <v>12</v>
      </c>
      <c r="H81" s="3" t="s">
        <v>298</v>
      </c>
      <c r="I81" s="10" t="str">
        <f>HYPERLINK("http://dx.doi.org/10.1007/s42690-022-00899-z","http://dx.doi.org/10.1007/s42690-022-00899-z")</f>
        <v>http://dx.doi.org/10.1007/s42690-022-00899-z</v>
      </c>
    </row>
    <row r="82" spans="1:9" ht="75" x14ac:dyDescent="0.25">
      <c r="A82" s="2">
        <v>79</v>
      </c>
      <c r="B82" s="3" t="s">
        <v>210</v>
      </c>
      <c r="C82" s="3" t="s">
        <v>234</v>
      </c>
      <c r="D82" s="3" t="s">
        <v>299</v>
      </c>
      <c r="E82" s="2">
        <v>2020</v>
      </c>
      <c r="F82" s="3" t="s">
        <v>300</v>
      </c>
      <c r="G82" s="2" t="s">
        <v>12</v>
      </c>
      <c r="H82" s="3" t="s">
        <v>48</v>
      </c>
      <c r="I82" s="10" t="str">
        <f>HYPERLINK("http://dx.doi.org/10.1007/s10967-019-06849-3","http://dx.doi.org/10.1007/s10967-019-06849-3")</f>
        <v>http://dx.doi.org/10.1007/s10967-019-06849-3</v>
      </c>
    </row>
    <row r="83" spans="1:9" ht="90" x14ac:dyDescent="0.25">
      <c r="A83" s="2">
        <v>80</v>
      </c>
      <c r="B83" s="3" t="s">
        <v>301</v>
      </c>
      <c r="C83" s="3" t="s">
        <v>302</v>
      </c>
      <c r="D83" s="3" t="s">
        <v>303</v>
      </c>
      <c r="E83" s="2">
        <v>2019</v>
      </c>
      <c r="F83" s="3" t="s">
        <v>304</v>
      </c>
      <c r="G83" s="2" t="s">
        <v>12</v>
      </c>
      <c r="H83" s="3" t="s">
        <v>305</v>
      </c>
      <c r="I83" s="10" t="s">
        <v>306</v>
      </c>
    </row>
    <row r="84" spans="1:9" ht="90" x14ac:dyDescent="0.25">
      <c r="A84" s="2">
        <v>81</v>
      </c>
      <c r="B84" s="3" t="s">
        <v>307</v>
      </c>
      <c r="C84" s="3" t="s">
        <v>308</v>
      </c>
      <c r="D84" s="3" t="s">
        <v>309</v>
      </c>
      <c r="E84" s="2">
        <v>2018</v>
      </c>
      <c r="F84" s="3" t="s">
        <v>310</v>
      </c>
      <c r="G84" s="2" t="s">
        <v>12</v>
      </c>
      <c r="H84" s="3" t="s">
        <v>205</v>
      </c>
      <c r="I84" s="10" t="str">
        <f>HYPERLINK("http://dx.doi.org/10.1080/00397911.2017.1390685","http://dx.doi.org/10.1080/00397911.2017.1390685")</f>
        <v>http://dx.doi.org/10.1080/00397911.2017.1390685</v>
      </c>
    </row>
    <row r="85" spans="1:9" ht="60" x14ac:dyDescent="0.25">
      <c r="A85" s="2">
        <v>82</v>
      </c>
      <c r="B85" s="3" t="s">
        <v>311</v>
      </c>
      <c r="C85" s="3" t="s">
        <v>225</v>
      </c>
      <c r="D85" s="3" t="s">
        <v>312</v>
      </c>
      <c r="E85" s="2">
        <v>2020</v>
      </c>
      <c r="F85" s="3" t="s">
        <v>313</v>
      </c>
      <c r="G85" s="2" t="s">
        <v>12</v>
      </c>
      <c r="H85" s="3" t="s">
        <v>28</v>
      </c>
      <c r="I85" s="10" t="str">
        <f>HYPERLINK("http://dx.doi.org/10.1021/acsanm.0c02762","http://dx.doi.org/10.1021/acsanm.0c02762")</f>
        <v>http://dx.doi.org/10.1021/acsanm.0c02762</v>
      </c>
    </row>
    <row r="86" spans="1:9" ht="105" x14ac:dyDescent="0.25">
      <c r="A86" s="2">
        <v>83</v>
      </c>
      <c r="B86" s="3" t="s">
        <v>314</v>
      </c>
      <c r="C86" s="3" t="s">
        <v>225</v>
      </c>
      <c r="D86" s="3" t="s">
        <v>315</v>
      </c>
      <c r="E86" s="2">
        <v>2020</v>
      </c>
      <c r="F86" s="3" t="s">
        <v>313</v>
      </c>
      <c r="G86" s="2" t="s">
        <v>12</v>
      </c>
      <c r="H86" s="3" t="s">
        <v>250</v>
      </c>
      <c r="I86" s="10" t="str">
        <f>HYPERLINK("http://dx.doi.org/10.5556/j.tkjm.51.2020.2696","http://dx.doi.org/10.5556/j.tkjm.51.2020.2696")</f>
        <v>http://dx.doi.org/10.5556/j.tkjm.51.2020.2696</v>
      </c>
    </row>
    <row r="87" spans="1:9" ht="105" x14ac:dyDescent="0.25">
      <c r="A87" s="2">
        <v>84</v>
      </c>
      <c r="B87" s="3" t="s">
        <v>316</v>
      </c>
      <c r="C87" s="3" t="s">
        <v>317</v>
      </c>
      <c r="D87" s="3" t="s">
        <v>318</v>
      </c>
      <c r="E87" s="2">
        <v>2018</v>
      </c>
      <c r="F87" s="3" t="s">
        <v>319</v>
      </c>
      <c r="G87" s="2" t="s">
        <v>12</v>
      </c>
      <c r="H87" s="3" t="s">
        <v>48</v>
      </c>
      <c r="I87" s="10" t="str">
        <f>HYPERLINK("http://dx.doi.org/10.1186/s13717-018-0138-4","http://dx.doi.org/10.1186/s13717-018-0138-4")</f>
        <v>http://dx.doi.org/10.1186/s13717-018-0138-4</v>
      </c>
    </row>
    <row r="88" spans="1:9" ht="60" x14ac:dyDescent="0.25">
      <c r="A88" s="2">
        <v>85</v>
      </c>
      <c r="B88" s="3" t="s">
        <v>320</v>
      </c>
      <c r="C88" s="3" t="s">
        <v>40</v>
      </c>
      <c r="D88" s="3" t="s">
        <v>321</v>
      </c>
      <c r="E88" s="2">
        <v>2018</v>
      </c>
      <c r="F88" s="3" t="s">
        <v>322</v>
      </c>
      <c r="G88" s="2" t="s">
        <v>12</v>
      </c>
      <c r="H88" s="3" t="s">
        <v>38</v>
      </c>
      <c r="I88" s="10" t="str">
        <f>HYPERLINK("http://dx.doi.org/10.2174/2213335604666171128150721","http://dx.doi.org/10.2174/2213335604666171128150721")</f>
        <v>http://dx.doi.org/10.2174/2213335604666171128150721</v>
      </c>
    </row>
    <row r="89" spans="1:9" ht="105" x14ac:dyDescent="0.25">
      <c r="A89" s="2">
        <v>86</v>
      </c>
      <c r="B89" s="3" t="s">
        <v>323</v>
      </c>
      <c r="C89" s="3" t="s">
        <v>69</v>
      </c>
      <c r="D89" s="3" t="s">
        <v>324</v>
      </c>
      <c r="E89" s="2">
        <v>2022</v>
      </c>
      <c r="F89" s="3" t="s">
        <v>325</v>
      </c>
      <c r="G89" s="2" t="s">
        <v>12</v>
      </c>
      <c r="H89" s="3" t="s">
        <v>58</v>
      </c>
      <c r="I89" s="10" t="str">
        <f>HYPERLINK("http://dx.doi.org/10.1039/d2nj01392d","http://dx.doi.org/10.1039/d2nj01392d")</f>
        <v>http://dx.doi.org/10.1039/d2nj01392d</v>
      </c>
    </row>
    <row r="90" spans="1:9" ht="120" x14ac:dyDescent="0.25">
      <c r="A90" s="2">
        <v>87</v>
      </c>
      <c r="B90" s="3" t="s">
        <v>326</v>
      </c>
      <c r="C90" s="3" t="s">
        <v>225</v>
      </c>
      <c r="D90" s="3" t="s">
        <v>327</v>
      </c>
      <c r="E90" s="2">
        <v>2021</v>
      </c>
      <c r="F90" s="3" t="s">
        <v>328</v>
      </c>
      <c r="G90" s="2" t="s">
        <v>12</v>
      </c>
      <c r="H90" s="3" t="s">
        <v>58</v>
      </c>
      <c r="I90" s="10" t="str">
        <f>HYPERLINK("http://dx.doi.org/10.1039/d0nj05806h","http://dx.doi.org/10.1039/d0nj05806h")</f>
        <v>http://dx.doi.org/10.1039/d0nj05806h</v>
      </c>
    </row>
    <row r="91" spans="1:9" ht="105" x14ac:dyDescent="0.25">
      <c r="A91" s="2">
        <v>88</v>
      </c>
      <c r="B91" s="3" t="s">
        <v>329</v>
      </c>
      <c r="C91" s="3" t="s">
        <v>45</v>
      </c>
      <c r="D91" s="3" t="s">
        <v>330</v>
      </c>
      <c r="E91" s="2">
        <v>2021</v>
      </c>
      <c r="F91" s="3" t="s">
        <v>331</v>
      </c>
      <c r="G91" s="2" t="s">
        <v>12</v>
      </c>
      <c r="H91" s="3" t="s">
        <v>23</v>
      </c>
      <c r="I91" s="10" t="str">
        <f>HYPERLINK("http://dx.doi.org/10.1002/jccs.202000303","http://dx.doi.org/10.1002/jccs.202000303")</f>
        <v>http://dx.doi.org/10.1002/jccs.202000303</v>
      </c>
    </row>
    <row r="92" spans="1:9" ht="60" x14ac:dyDescent="0.25">
      <c r="A92" s="2">
        <v>89</v>
      </c>
      <c r="B92" s="3" t="s">
        <v>251</v>
      </c>
      <c r="C92" s="3" t="s">
        <v>153</v>
      </c>
      <c r="D92" s="3" t="s">
        <v>332</v>
      </c>
      <c r="E92" s="2">
        <v>2020</v>
      </c>
      <c r="F92" s="3" t="s">
        <v>333</v>
      </c>
      <c r="G92" s="2" t="s">
        <v>12</v>
      </c>
      <c r="H92" s="3" t="s">
        <v>43</v>
      </c>
      <c r="I92" s="10" t="str">
        <f>HYPERLINK("http://dx.doi.org/10.3934/math.2020312","http://dx.doi.org/10.3934/math.2020312")</f>
        <v>http://dx.doi.org/10.3934/math.2020312</v>
      </c>
    </row>
    <row r="93" spans="1:9" ht="120" x14ac:dyDescent="0.25">
      <c r="A93" s="2">
        <v>90</v>
      </c>
      <c r="B93" s="3" t="s">
        <v>334</v>
      </c>
      <c r="C93" s="3" t="s">
        <v>60</v>
      </c>
      <c r="D93" s="3" t="s">
        <v>335</v>
      </c>
      <c r="E93" s="2">
        <v>2021</v>
      </c>
      <c r="F93" s="3" t="s">
        <v>336</v>
      </c>
      <c r="G93" s="2" t="s">
        <v>12</v>
      </c>
      <c r="H93" s="3" t="s">
        <v>28</v>
      </c>
      <c r="I93" s="10" t="str">
        <f>HYPERLINK("http://dx.doi.org/10.1021/acs.energyfuels.0c04298","http://dx.doi.org/10.1021/acs.energyfuels.0c04298")</f>
        <v>http://dx.doi.org/10.1021/acs.energyfuels.0c04298</v>
      </c>
    </row>
    <row r="94" spans="1:9" ht="90" x14ac:dyDescent="0.25">
      <c r="A94" s="2">
        <v>91</v>
      </c>
      <c r="B94" s="3" t="s">
        <v>146</v>
      </c>
      <c r="C94" s="3" t="s">
        <v>60</v>
      </c>
      <c r="D94" s="3" t="s">
        <v>337</v>
      </c>
      <c r="E94" s="2">
        <v>2020</v>
      </c>
      <c r="F94" s="3" t="s">
        <v>338</v>
      </c>
      <c r="G94" s="2" t="s">
        <v>12</v>
      </c>
      <c r="H94" s="3" t="s">
        <v>58</v>
      </c>
      <c r="I94" s="10" t="str">
        <f>HYPERLINK("http://dx.doi.org/10.1039/d0nj02598d","http://dx.doi.org/10.1039/d0nj02598d")</f>
        <v>http://dx.doi.org/10.1039/d0nj02598d</v>
      </c>
    </row>
    <row r="95" spans="1:9" ht="105" x14ac:dyDescent="0.25">
      <c r="A95" s="2">
        <v>92</v>
      </c>
      <c r="B95" s="3" t="s">
        <v>339</v>
      </c>
      <c r="C95" s="3" t="s">
        <v>340</v>
      </c>
      <c r="D95" s="3" t="s">
        <v>341</v>
      </c>
      <c r="E95" s="2">
        <v>2020</v>
      </c>
      <c r="F95" s="3" t="s">
        <v>342</v>
      </c>
      <c r="G95" s="2" t="s">
        <v>12</v>
      </c>
      <c r="H95" s="3" t="s">
        <v>48</v>
      </c>
      <c r="I95" s="10" t="str">
        <f>HYPERLINK("http://dx.doi.org/10.1007/s11164-020-04273-x","http://dx.doi.org/10.1007/s11164-020-04273-x")</f>
        <v>http://dx.doi.org/10.1007/s11164-020-04273-x</v>
      </c>
    </row>
    <row r="96" spans="1:9" ht="60" x14ac:dyDescent="0.25">
      <c r="A96" s="2">
        <v>93</v>
      </c>
      <c r="B96" s="3" t="s">
        <v>343</v>
      </c>
      <c r="C96" s="3" t="s">
        <v>344</v>
      </c>
      <c r="D96" s="3" t="s">
        <v>345</v>
      </c>
      <c r="E96" s="2">
        <v>2020</v>
      </c>
      <c r="F96" s="3" t="s">
        <v>346</v>
      </c>
      <c r="G96" s="2" t="s">
        <v>12</v>
      </c>
      <c r="H96" s="3" t="s">
        <v>160</v>
      </c>
      <c r="I96" s="10" t="str">
        <f>HYPERLINK("http://dx.doi.org/10.12941/jksiam.2020.24.229","http://dx.doi.org/10.12941/jksiam.2020.24.229")</f>
        <v>http://dx.doi.org/10.12941/jksiam.2020.24.229</v>
      </c>
    </row>
    <row r="97" spans="1:9" ht="120" x14ac:dyDescent="0.25">
      <c r="A97" s="2">
        <v>94</v>
      </c>
      <c r="B97" s="3" t="s">
        <v>347</v>
      </c>
      <c r="C97" s="3" t="s">
        <v>104</v>
      </c>
      <c r="D97" s="3" t="s">
        <v>348</v>
      </c>
      <c r="E97" s="2">
        <v>2020</v>
      </c>
      <c r="F97" s="3" t="s">
        <v>349</v>
      </c>
      <c r="G97" s="2" t="s">
        <v>12</v>
      </c>
      <c r="H97" s="3" t="s">
        <v>67</v>
      </c>
      <c r="I97" s="10" t="str">
        <f>HYPERLINK("http://dx.doi.org/10.1002/jhet.3828","http://dx.doi.org/10.1002/jhet.3828")</f>
        <v>http://dx.doi.org/10.1002/jhet.3828</v>
      </c>
    </row>
    <row r="98" spans="1:9" ht="105" x14ac:dyDescent="0.25">
      <c r="A98" s="2">
        <v>95</v>
      </c>
      <c r="B98" s="3" t="s">
        <v>350</v>
      </c>
      <c r="C98" s="3" t="s">
        <v>351</v>
      </c>
      <c r="D98" s="3" t="s">
        <v>352</v>
      </c>
      <c r="E98" s="2">
        <v>2020</v>
      </c>
      <c r="F98" s="3" t="s">
        <v>353</v>
      </c>
      <c r="G98" s="2" t="s">
        <v>12</v>
      </c>
      <c r="H98" s="3" t="s">
        <v>67</v>
      </c>
      <c r="I98" s="10" t="str">
        <f>HYPERLINK("http://dx.doi.org/10.1002/jhet.3802","http://dx.doi.org/10.1002/jhet.3802")</f>
        <v>http://dx.doi.org/10.1002/jhet.3802</v>
      </c>
    </row>
    <row r="99" spans="1:9" ht="90" x14ac:dyDescent="0.25">
      <c r="A99" s="2">
        <v>96</v>
      </c>
      <c r="B99" s="3" t="s">
        <v>354</v>
      </c>
      <c r="C99" s="3" t="s">
        <v>178</v>
      </c>
      <c r="D99" s="3" t="s">
        <v>355</v>
      </c>
      <c r="E99" s="2">
        <v>2018</v>
      </c>
      <c r="F99" s="3" t="s">
        <v>322</v>
      </c>
      <c r="G99" s="2" t="s">
        <v>12</v>
      </c>
      <c r="H99" s="3" t="s">
        <v>356</v>
      </c>
      <c r="I99" s="10" t="str">
        <f>HYPERLINK("http://dx.doi.org/10.1007/s13197-017-2990-0","http://dx.doi.org/10.1007/s13197-017-2990-0")</f>
        <v>http://dx.doi.org/10.1007/s13197-017-2990-0</v>
      </c>
    </row>
    <row r="100" spans="1:9" ht="75" x14ac:dyDescent="0.25">
      <c r="A100" s="2">
        <v>97</v>
      </c>
      <c r="B100" s="3" t="s">
        <v>357</v>
      </c>
      <c r="C100" s="3" t="s">
        <v>107</v>
      </c>
      <c r="D100" s="3" t="s">
        <v>358</v>
      </c>
      <c r="E100" s="2">
        <v>2023</v>
      </c>
      <c r="F100" s="3" t="s">
        <v>359</v>
      </c>
      <c r="G100" s="2" t="s">
        <v>12</v>
      </c>
      <c r="H100" s="3" t="s">
        <v>360</v>
      </c>
      <c r="I100" s="10" t="str">
        <f>HYPERLINK("http://dx.doi.org/10.29228/jrp.309","http://dx.doi.org/10.29228/jrp.309")</f>
        <v>http://dx.doi.org/10.29228/jrp.309</v>
      </c>
    </row>
    <row r="101" spans="1:9" ht="60" x14ac:dyDescent="0.25">
      <c r="A101" s="2">
        <v>98</v>
      </c>
      <c r="B101" s="3" t="s">
        <v>361</v>
      </c>
      <c r="C101" s="3" t="s">
        <v>362</v>
      </c>
      <c r="D101" s="3" t="s">
        <v>363</v>
      </c>
      <c r="E101" s="2">
        <v>2023</v>
      </c>
      <c r="F101" s="3" t="s">
        <v>364</v>
      </c>
      <c r="G101" s="2" t="s">
        <v>12</v>
      </c>
      <c r="H101" s="3" t="s">
        <v>38</v>
      </c>
      <c r="I101" s="10" t="str">
        <f>HYPERLINK("http://dx.doi.org/10.2174/1570178620666230309154227","http://dx.doi.org/10.2174/1570178620666230309154227")</f>
        <v>http://dx.doi.org/10.2174/1570178620666230309154227</v>
      </c>
    </row>
    <row r="102" spans="1:9" ht="60" x14ac:dyDescent="0.25">
      <c r="A102" s="2">
        <v>99</v>
      </c>
      <c r="B102" s="3" t="s">
        <v>365</v>
      </c>
      <c r="C102" s="3" t="s">
        <v>366</v>
      </c>
      <c r="D102" s="3" t="s">
        <v>367</v>
      </c>
      <c r="E102" s="2">
        <v>2020</v>
      </c>
      <c r="F102" s="3">
        <v>9780429343698</v>
      </c>
      <c r="G102" s="2" t="s">
        <v>12</v>
      </c>
      <c r="H102" s="3" t="s">
        <v>368</v>
      </c>
      <c r="I102" s="10" t="s">
        <v>369</v>
      </c>
    </row>
    <row r="103" spans="1:9" ht="60" x14ac:dyDescent="0.25">
      <c r="A103" s="2">
        <v>100</v>
      </c>
      <c r="B103" s="3" t="s">
        <v>370</v>
      </c>
      <c r="C103" s="3" t="s">
        <v>371</v>
      </c>
      <c r="D103" s="3" t="s">
        <v>372</v>
      </c>
      <c r="E103" s="2">
        <v>2018</v>
      </c>
      <c r="F103" s="3" t="s">
        <v>349</v>
      </c>
      <c r="G103" s="2" t="s">
        <v>12</v>
      </c>
      <c r="H103" s="3" t="s">
        <v>190</v>
      </c>
      <c r="I103" s="10" t="str">
        <f>HYPERLINK("http://dx.doi.org/10.12944/CRNFSJ.6.1.25","http://dx.doi.org/10.12944/CRNFSJ.6.1.25")</f>
        <v>http://dx.doi.org/10.12944/CRNFSJ.6.1.25</v>
      </c>
    </row>
    <row r="104" spans="1:9" ht="60" x14ac:dyDescent="0.25">
      <c r="A104" s="2">
        <v>101</v>
      </c>
      <c r="B104" s="3" t="s">
        <v>373</v>
      </c>
      <c r="C104" s="3" t="s">
        <v>115</v>
      </c>
      <c r="D104" s="3" t="s">
        <v>374</v>
      </c>
      <c r="E104" s="2">
        <v>2018</v>
      </c>
      <c r="F104" s="3" t="s">
        <v>117</v>
      </c>
      <c r="G104" s="2" t="s">
        <v>12</v>
      </c>
      <c r="H104" s="3" t="s">
        <v>72</v>
      </c>
      <c r="I104" s="13" t="s">
        <v>375</v>
      </c>
    </row>
    <row r="105" spans="1:9" ht="90" x14ac:dyDescent="0.25">
      <c r="A105" s="2">
        <v>102</v>
      </c>
      <c r="B105" s="3" t="s">
        <v>376</v>
      </c>
      <c r="C105" s="3" t="s">
        <v>377</v>
      </c>
      <c r="D105" s="3" t="s">
        <v>378</v>
      </c>
      <c r="E105" s="2">
        <v>2020</v>
      </c>
      <c r="F105" s="3" t="s">
        <v>379</v>
      </c>
      <c r="G105" s="2" t="s">
        <v>12</v>
      </c>
      <c r="H105" s="3" t="s">
        <v>181</v>
      </c>
      <c r="I105" s="10" t="s">
        <v>380</v>
      </c>
    </row>
    <row r="106" spans="1:9" ht="30" x14ac:dyDescent="0.25">
      <c r="A106" s="2">
        <v>103</v>
      </c>
      <c r="B106" s="3" t="s">
        <v>381</v>
      </c>
      <c r="C106" s="3" t="s">
        <v>75</v>
      </c>
      <c r="D106" s="3" t="s">
        <v>382</v>
      </c>
      <c r="E106" s="2">
        <v>2021</v>
      </c>
      <c r="F106" s="3" t="s">
        <v>383</v>
      </c>
      <c r="G106" s="2" t="s">
        <v>12</v>
      </c>
      <c r="H106" s="3" t="s">
        <v>384</v>
      </c>
      <c r="I106" s="10" t="str">
        <f>HYPERLINK("http://dx.doi.org/10.17516/1997-1397-2021-14-2-159-175","http://dx.doi.org/10.17516/1997-1397-2021-14-2-159-175")</f>
        <v>http://dx.doi.org/10.17516/1997-1397-2021-14-2-159-175</v>
      </c>
    </row>
    <row r="107" spans="1:9" ht="75" x14ac:dyDescent="0.25">
      <c r="A107" s="2">
        <v>104</v>
      </c>
      <c r="B107" s="3" t="s">
        <v>385</v>
      </c>
      <c r="C107" s="3" t="s">
        <v>386</v>
      </c>
      <c r="D107" s="3" t="s">
        <v>387</v>
      </c>
      <c r="E107" s="2">
        <v>2019</v>
      </c>
      <c r="F107" s="3" t="s">
        <v>388</v>
      </c>
      <c r="G107" s="2" t="s">
        <v>12</v>
      </c>
      <c r="H107" s="3" t="s">
        <v>368</v>
      </c>
      <c r="I107" s="10" t="str">
        <f>HYPERLINK("http://dx.doi.org/10.1080/21639159.2019.1577154","http://dx.doi.org/10.1080/21639159.2019.1577154")</f>
        <v>http://dx.doi.org/10.1080/21639159.2019.1577154</v>
      </c>
    </row>
    <row r="108" spans="1:9" ht="60" x14ac:dyDescent="0.25">
      <c r="A108" s="2">
        <v>105</v>
      </c>
      <c r="B108" s="3" t="s">
        <v>389</v>
      </c>
      <c r="C108" s="3" t="s">
        <v>390</v>
      </c>
      <c r="D108" s="3" t="s">
        <v>391</v>
      </c>
      <c r="E108" s="2">
        <v>2023</v>
      </c>
      <c r="F108" s="3" t="s">
        <v>392</v>
      </c>
      <c r="G108" s="2" t="s">
        <v>12</v>
      </c>
      <c r="H108" s="3" t="s">
        <v>277</v>
      </c>
      <c r="I108" s="10" t="str">
        <f>HYPERLINK("http://dx.doi.org/10.1016/j.inoche.2022.110314","http://dx.doi.org/10.1016/j.inoche.2022.110314")</f>
        <v>http://dx.doi.org/10.1016/j.inoche.2022.110314</v>
      </c>
    </row>
    <row r="109" spans="1:9" ht="75" x14ac:dyDescent="0.25">
      <c r="A109" s="2">
        <v>106</v>
      </c>
      <c r="B109" s="3" t="s">
        <v>222</v>
      </c>
      <c r="C109" s="3" t="s">
        <v>344</v>
      </c>
      <c r="D109" s="3" t="s">
        <v>393</v>
      </c>
      <c r="E109" s="2">
        <v>2021</v>
      </c>
      <c r="F109" s="3" t="s">
        <v>394</v>
      </c>
      <c r="G109" s="2" t="s">
        <v>12</v>
      </c>
      <c r="H109" s="3" t="s">
        <v>395</v>
      </c>
      <c r="I109" s="10" t="str">
        <f>HYPERLINK("http://dx.doi.org/10.22937/IJCSNS.2021.21.12.35","http://dx.doi.org/10.22937/IJCSNS.2021.21.12.35")</f>
        <v>http://dx.doi.org/10.22937/IJCSNS.2021.21.12.35</v>
      </c>
    </row>
    <row r="110" spans="1:9" ht="30" x14ac:dyDescent="0.25">
      <c r="A110" s="2">
        <v>107</v>
      </c>
      <c r="B110" s="3" t="s">
        <v>396</v>
      </c>
      <c r="C110" s="3" t="s">
        <v>397</v>
      </c>
      <c r="D110" s="3" t="s">
        <v>398</v>
      </c>
      <c r="E110" s="2">
        <v>2020</v>
      </c>
      <c r="F110" s="3" t="s">
        <v>399</v>
      </c>
      <c r="G110" s="2" t="s">
        <v>12</v>
      </c>
      <c r="H110" s="3" t="s">
        <v>84</v>
      </c>
      <c r="I110" s="10" t="str">
        <f>HYPERLINK("http://dx.doi.org/10.1142/S1793557120500345","http://dx.doi.org/10.1142/S1793557120500345")</f>
        <v>http://dx.doi.org/10.1142/S1793557120500345</v>
      </c>
    </row>
    <row r="111" spans="1:9" ht="45" x14ac:dyDescent="0.25">
      <c r="A111" s="2">
        <v>108</v>
      </c>
      <c r="B111" s="3" t="s">
        <v>400</v>
      </c>
      <c r="C111" s="3" t="s">
        <v>401</v>
      </c>
      <c r="D111" s="3" t="s">
        <v>402</v>
      </c>
      <c r="E111" s="2">
        <v>2019</v>
      </c>
      <c r="F111" s="3" t="s">
        <v>403</v>
      </c>
      <c r="G111" s="2" t="s">
        <v>12</v>
      </c>
      <c r="H111" s="3" t="s">
        <v>404</v>
      </c>
      <c r="I111" s="12" t="s">
        <v>3204</v>
      </c>
    </row>
    <row r="112" spans="1:9" ht="75" x14ac:dyDescent="0.25">
      <c r="A112" s="2">
        <v>109</v>
      </c>
      <c r="B112" s="3" t="s">
        <v>365</v>
      </c>
      <c r="C112" s="3" t="s">
        <v>107</v>
      </c>
      <c r="D112" s="3" t="s">
        <v>405</v>
      </c>
      <c r="E112" s="2">
        <v>2023</v>
      </c>
      <c r="F112" s="3" t="s">
        <v>346</v>
      </c>
      <c r="G112" s="2" t="s">
        <v>12</v>
      </c>
      <c r="H112" s="3" t="s">
        <v>368</v>
      </c>
      <c r="I112" s="10" t="str">
        <f>HYPERLINK("http://dx.doi.org/10.1080/19480881.2023.2244797","http://dx.doi.org/10.1080/19480881.2023.2244797")</f>
        <v>http://dx.doi.org/10.1080/19480881.2023.2244797</v>
      </c>
    </row>
    <row r="113" spans="1:9" ht="90" x14ac:dyDescent="0.25">
      <c r="A113" s="2">
        <v>110</v>
      </c>
      <c r="B113" s="3" t="s">
        <v>406</v>
      </c>
      <c r="C113" s="3" t="s">
        <v>56</v>
      </c>
      <c r="D113" s="3" t="s">
        <v>407</v>
      </c>
      <c r="E113" s="2">
        <v>2023</v>
      </c>
      <c r="F113" s="3" t="s">
        <v>408</v>
      </c>
      <c r="G113" s="2" t="s">
        <v>12</v>
      </c>
      <c r="H113" s="3" t="s">
        <v>360</v>
      </c>
      <c r="I113" s="10" t="str">
        <f>HYPERLINK("http://dx.doi.org/10.29228/jrp.432","http://dx.doi.org/10.29228/jrp.432")</f>
        <v>http://dx.doi.org/10.29228/jrp.432</v>
      </c>
    </row>
    <row r="114" spans="1:9" ht="90" x14ac:dyDescent="0.25">
      <c r="A114" s="2">
        <v>111</v>
      </c>
      <c r="B114" s="3" t="s">
        <v>409</v>
      </c>
      <c r="C114" s="3" t="s">
        <v>386</v>
      </c>
      <c r="D114" s="3" t="s">
        <v>410</v>
      </c>
      <c r="E114" s="2">
        <v>2022</v>
      </c>
      <c r="F114" s="3" t="s">
        <v>310</v>
      </c>
      <c r="G114" s="2" t="s">
        <v>12</v>
      </c>
      <c r="H114" s="3" t="s">
        <v>48</v>
      </c>
      <c r="I114" s="10" t="str">
        <f>HYPERLINK("http://dx.doi.org/10.1007/s10562-021-03684-8","http://dx.doi.org/10.1007/s10562-021-03684-8")</f>
        <v>http://dx.doi.org/10.1007/s10562-021-03684-8</v>
      </c>
    </row>
    <row r="115" spans="1:9" ht="75" x14ac:dyDescent="0.25">
      <c r="A115" s="2">
        <v>112</v>
      </c>
      <c r="B115" s="3" t="s">
        <v>411</v>
      </c>
      <c r="C115" s="3" t="s">
        <v>412</v>
      </c>
      <c r="D115" s="3" t="s">
        <v>413</v>
      </c>
      <c r="E115" s="2">
        <v>2018</v>
      </c>
      <c r="F115" s="3" t="s">
        <v>414</v>
      </c>
      <c r="G115" s="2" t="s">
        <v>12</v>
      </c>
      <c r="H115" s="3" t="s">
        <v>23</v>
      </c>
      <c r="I115" s="10" t="str">
        <f>HYPERLINK("http://dx.doi.org/10.1002/celc.201801083","http://dx.doi.org/10.1002/celc.201801083")</f>
        <v>http://dx.doi.org/10.1002/celc.201801083</v>
      </c>
    </row>
    <row r="116" spans="1:9" ht="60" x14ac:dyDescent="0.25">
      <c r="A116" s="2">
        <v>113</v>
      </c>
      <c r="B116" s="3" t="s">
        <v>415</v>
      </c>
      <c r="C116" s="3" t="s">
        <v>115</v>
      </c>
      <c r="D116" s="3" t="s">
        <v>416</v>
      </c>
      <c r="E116" s="2">
        <v>2018</v>
      </c>
      <c r="F116" s="3" t="s">
        <v>117</v>
      </c>
      <c r="G116" s="2" t="s">
        <v>12</v>
      </c>
      <c r="H116" s="3" t="s">
        <v>72</v>
      </c>
      <c r="I116" s="10" t="s">
        <v>417</v>
      </c>
    </row>
    <row r="117" spans="1:9" ht="90" x14ac:dyDescent="0.25">
      <c r="A117" s="2">
        <v>114</v>
      </c>
      <c r="B117" s="3" t="s">
        <v>418</v>
      </c>
      <c r="C117" s="3" t="s">
        <v>419</v>
      </c>
      <c r="D117" s="3" t="s">
        <v>420</v>
      </c>
      <c r="E117" s="2">
        <v>2022</v>
      </c>
      <c r="F117" s="3" t="s">
        <v>421</v>
      </c>
      <c r="G117" s="2" t="s">
        <v>12</v>
      </c>
      <c r="H117" s="3" t="s">
        <v>58</v>
      </c>
      <c r="I117" s="10" t="str">
        <f>HYPERLINK("http://dx.doi.org/10.1039/d1ra07984k","http://dx.doi.org/10.1039/d1ra07984k")</f>
        <v>http://dx.doi.org/10.1039/d1ra07984k</v>
      </c>
    </row>
    <row r="118" spans="1:9" ht="30" x14ac:dyDescent="0.25">
      <c r="A118" s="2">
        <v>115</v>
      </c>
      <c r="B118" s="3" t="s">
        <v>400</v>
      </c>
      <c r="C118" s="3" t="s">
        <v>422</v>
      </c>
      <c r="D118" s="3" t="s">
        <v>423</v>
      </c>
      <c r="E118" s="2">
        <v>2020</v>
      </c>
      <c r="F118" s="3" t="s">
        <v>424</v>
      </c>
      <c r="G118" s="2" t="s">
        <v>12</v>
      </c>
      <c r="H118" s="3" t="s">
        <v>404</v>
      </c>
      <c r="I118" s="12" t="s">
        <v>3204</v>
      </c>
    </row>
    <row r="119" spans="1:9" ht="75" x14ac:dyDescent="0.25">
      <c r="A119" s="2">
        <v>116</v>
      </c>
      <c r="B119" s="3" t="s">
        <v>425</v>
      </c>
      <c r="C119" s="3" t="s">
        <v>426</v>
      </c>
      <c r="D119" s="3" t="s">
        <v>427</v>
      </c>
      <c r="E119" s="2">
        <v>2019</v>
      </c>
      <c r="F119" s="3" t="s">
        <v>428</v>
      </c>
      <c r="G119" s="2" t="s">
        <v>12</v>
      </c>
      <c r="H119" s="3" t="s">
        <v>277</v>
      </c>
      <c r="I119" s="10" t="str">
        <f>HYPERLINK("http://dx.doi.org/10.1016/j.arabjc.2014.12.015","http://dx.doi.org/10.1016/j.arabjc.2014.12.015")</f>
        <v>http://dx.doi.org/10.1016/j.arabjc.2014.12.015</v>
      </c>
    </row>
    <row r="120" spans="1:9" ht="90" x14ac:dyDescent="0.25">
      <c r="A120" s="2">
        <v>117</v>
      </c>
      <c r="B120" s="3" t="s">
        <v>429</v>
      </c>
      <c r="C120" s="3" t="s">
        <v>45</v>
      </c>
      <c r="D120" s="3" t="s">
        <v>430</v>
      </c>
      <c r="E120" s="2">
        <v>2019</v>
      </c>
      <c r="F120" s="3" t="s">
        <v>394</v>
      </c>
      <c r="G120" s="2" t="s">
        <v>12</v>
      </c>
      <c r="H120" s="3" t="s">
        <v>431</v>
      </c>
      <c r="I120" s="10" t="str">
        <f>HYPERLINK("http://dx.doi.org/10.5666/KMJ.2019.59.1.191","http://dx.doi.org/10.5666/KMJ.2019.59.1.191")</f>
        <v>http://dx.doi.org/10.5666/KMJ.2019.59.1.191</v>
      </c>
    </row>
    <row r="121" spans="1:9" ht="30" x14ac:dyDescent="0.25">
      <c r="A121" s="2">
        <v>118</v>
      </c>
      <c r="B121" s="3" t="s">
        <v>432</v>
      </c>
      <c r="C121" s="3" t="s">
        <v>433</v>
      </c>
      <c r="D121" s="3" t="s">
        <v>434</v>
      </c>
      <c r="E121" s="2">
        <v>2019</v>
      </c>
      <c r="F121" s="3" t="s">
        <v>394</v>
      </c>
      <c r="G121" s="2" t="s">
        <v>12</v>
      </c>
      <c r="H121" s="3" t="s">
        <v>435</v>
      </c>
      <c r="I121" s="10" t="str">
        <f>HYPERLINK("http://dx.doi.org/10.4103/0971-5916.251662","http://dx.doi.org/10.4103/0971-5916.251662")</f>
        <v>http://dx.doi.org/10.4103/0971-5916.251662</v>
      </c>
    </row>
    <row r="122" spans="1:9" ht="60" x14ac:dyDescent="0.25">
      <c r="A122" s="2">
        <v>119</v>
      </c>
      <c r="B122" s="3" t="s">
        <v>436</v>
      </c>
      <c r="C122" s="3" t="s">
        <v>437</v>
      </c>
      <c r="D122" s="3" t="s">
        <v>438</v>
      </c>
      <c r="E122" s="2">
        <v>2022</v>
      </c>
      <c r="F122" s="3" t="s">
        <v>261</v>
      </c>
      <c r="G122" s="2" t="s">
        <v>12</v>
      </c>
      <c r="H122" s="3" t="s">
        <v>439</v>
      </c>
      <c r="I122" s="10" t="str">
        <f>HYPERLINK("http://dx.doi.org/10.1007/s13201-021-01546-7","http://dx.doi.org/10.1007/s13201-021-01546-7")</f>
        <v>http://dx.doi.org/10.1007/s13201-021-01546-7</v>
      </c>
    </row>
    <row r="123" spans="1:9" ht="90" x14ac:dyDescent="0.25">
      <c r="A123" s="2">
        <v>120</v>
      </c>
      <c r="B123" s="3" t="s">
        <v>440</v>
      </c>
      <c r="C123" s="3" t="s">
        <v>75</v>
      </c>
      <c r="D123" s="3" t="s">
        <v>441</v>
      </c>
      <c r="E123" s="2">
        <v>2021</v>
      </c>
      <c r="F123" s="3" t="s">
        <v>331</v>
      </c>
      <c r="G123" s="2" t="s">
        <v>12</v>
      </c>
      <c r="H123" s="3" t="s">
        <v>48</v>
      </c>
      <c r="I123" s="10" t="str">
        <f>HYPERLINK("http://dx.doi.org/10.1208/s12249-021-01963-6","http://dx.doi.org/10.1208/s12249-021-01963-6")</f>
        <v>http://dx.doi.org/10.1208/s12249-021-01963-6</v>
      </c>
    </row>
    <row r="124" spans="1:9" ht="120" x14ac:dyDescent="0.25">
      <c r="A124" s="2">
        <v>121</v>
      </c>
      <c r="B124" s="3" t="s">
        <v>442</v>
      </c>
      <c r="C124" s="3" t="s">
        <v>443</v>
      </c>
      <c r="D124" s="3" t="s">
        <v>444</v>
      </c>
      <c r="E124" s="2">
        <v>2021</v>
      </c>
      <c r="F124" s="3" t="s">
        <v>445</v>
      </c>
      <c r="G124" s="2" t="s">
        <v>12</v>
      </c>
      <c r="H124" s="3" t="s">
        <v>48</v>
      </c>
      <c r="I124" s="10" t="str">
        <f>HYPERLINK("http://dx.doi.org/10.1007/s11164-021-04423-9","http://dx.doi.org/10.1007/s11164-021-04423-9")</f>
        <v>http://dx.doi.org/10.1007/s11164-021-04423-9</v>
      </c>
    </row>
    <row r="125" spans="1:9" ht="60" x14ac:dyDescent="0.25">
      <c r="A125" s="2">
        <v>122</v>
      </c>
      <c r="B125" s="3" t="s">
        <v>251</v>
      </c>
      <c r="C125" s="3" t="s">
        <v>153</v>
      </c>
      <c r="D125" s="3" t="s">
        <v>446</v>
      </c>
      <c r="E125" s="2">
        <v>2020</v>
      </c>
      <c r="F125" s="3" t="s">
        <v>447</v>
      </c>
      <c r="G125" s="2" t="s">
        <v>12</v>
      </c>
      <c r="H125" s="3" t="s">
        <v>448</v>
      </c>
      <c r="I125" s="10" t="str">
        <f>HYPERLINK("http://dx.doi.org/10.5890/JAND.2020.12.011","http://dx.doi.org/10.5890/JAND.2020.12.011")</f>
        <v>http://dx.doi.org/10.5890/JAND.2020.12.011</v>
      </c>
    </row>
    <row r="126" spans="1:9" ht="90" x14ac:dyDescent="0.25">
      <c r="A126" s="2">
        <v>123</v>
      </c>
      <c r="B126" s="3" t="s">
        <v>449</v>
      </c>
      <c r="C126" s="3" t="s">
        <v>450</v>
      </c>
      <c r="D126" s="3" t="s">
        <v>451</v>
      </c>
      <c r="E126" s="2">
        <v>2020</v>
      </c>
      <c r="F126" s="3" t="s">
        <v>452</v>
      </c>
      <c r="G126" s="2" t="s">
        <v>12</v>
      </c>
      <c r="H126" s="3" t="s">
        <v>453</v>
      </c>
      <c r="I126" s="10" t="str">
        <f>HYPERLINK("http://dx.doi.org/10.3389/fchem.2020.00325","http://dx.doi.org/10.3389/fchem.2020.00325")</f>
        <v>http://dx.doi.org/10.3389/fchem.2020.00325</v>
      </c>
    </row>
    <row r="127" spans="1:9" ht="75" x14ac:dyDescent="0.25">
      <c r="A127" s="2">
        <v>124</v>
      </c>
      <c r="B127" s="3" t="s">
        <v>454</v>
      </c>
      <c r="C127" s="3" t="s">
        <v>455</v>
      </c>
      <c r="D127" s="3" t="s">
        <v>456</v>
      </c>
      <c r="E127" s="2">
        <v>2020</v>
      </c>
      <c r="F127" s="3" t="s">
        <v>457</v>
      </c>
      <c r="G127" s="2" t="s">
        <v>12</v>
      </c>
      <c r="H127" s="3" t="s">
        <v>18</v>
      </c>
      <c r="I127" s="10" t="str">
        <f>HYPERLINK("http://dx.doi.org/10.1007/978-3-030-38040-3_74","http://dx.doi.org/10.1007/978-3-030-38040-3_74")</f>
        <v>http://dx.doi.org/10.1007/978-3-030-38040-3_74</v>
      </c>
    </row>
    <row r="128" spans="1:9" ht="45" x14ac:dyDescent="0.25">
      <c r="A128" s="2">
        <v>125</v>
      </c>
      <c r="B128" s="3" t="s">
        <v>400</v>
      </c>
      <c r="C128" s="3" t="s">
        <v>458</v>
      </c>
      <c r="D128" s="3" t="s">
        <v>459</v>
      </c>
      <c r="E128" s="2">
        <v>2021</v>
      </c>
      <c r="F128" s="3" t="s">
        <v>460</v>
      </c>
      <c r="G128" s="2" t="s">
        <v>12</v>
      </c>
      <c r="H128" s="3" t="s">
        <v>84</v>
      </c>
      <c r="I128" s="10" t="str">
        <f>HYPERLINK("http://dx.doi.org/10.1142/S1793557121501060","http://dx.doi.org/10.1142/S1793557121501060")</f>
        <v>http://dx.doi.org/10.1142/S1793557121501060</v>
      </c>
    </row>
    <row r="129" spans="1:9" ht="60" x14ac:dyDescent="0.25">
      <c r="A129" s="2">
        <v>126</v>
      </c>
      <c r="B129" s="3" t="s">
        <v>381</v>
      </c>
      <c r="C129" s="3" t="s">
        <v>461</v>
      </c>
      <c r="D129" s="3" t="s">
        <v>462</v>
      </c>
      <c r="E129" s="2">
        <v>2020</v>
      </c>
      <c r="F129" s="3" t="s">
        <v>463</v>
      </c>
      <c r="G129" s="2" t="s">
        <v>12</v>
      </c>
      <c r="H129" s="3" t="s">
        <v>464</v>
      </c>
      <c r="I129" s="10" t="str">
        <f>HYPERLINK("http://dx.doi.org/10.2478/aupcsm-2020-0013","http://dx.doi.org/10.2478/aupcsm-2020-0013")</f>
        <v>http://dx.doi.org/10.2478/aupcsm-2020-0013</v>
      </c>
    </row>
    <row r="130" spans="1:9" ht="90" x14ac:dyDescent="0.25">
      <c r="A130" s="2">
        <v>127</v>
      </c>
      <c r="B130" s="3" t="s">
        <v>182</v>
      </c>
      <c r="C130" s="3" t="s">
        <v>465</v>
      </c>
      <c r="D130" s="3" t="s">
        <v>466</v>
      </c>
      <c r="E130" s="2">
        <v>2019</v>
      </c>
      <c r="F130" s="3" t="s">
        <v>467</v>
      </c>
      <c r="G130" s="2" t="s">
        <v>12</v>
      </c>
      <c r="H130" s="3" t="s">
        <v>160</v>
      </c>
      <c r="I130" s="10" t="str">
        <f>HYPERLINK("http://dx.doi.org/10.12941/jksiam.2019.23.381","http://dx.doi.org/10.12941/jksiam.2019.23.381")</f>
        <v>http://dx.doi.org/10.12941/jksiam.2019.23.381</v>
      </c>
    </row>
    <row r="131" spans="1:9" ht="75" x14ac:dyDescent="0.25">
      <c r="A131" s="2">
        <v>128</v>
      </c>
      <c r="B131" s="3" t="s">
        <v>468</v>
      </c>
      <c r="C131" s="3" t="s">
        <v>150</v>
      </c>
      <c r="D131" s="3" t="s">
        <v>469</v>
      </c>
      <c r="E131" s="2">
        <v>2019</v>
      </c>
      <c r="F131" s="3" t="s">
        <v>470</v>
      </c>
      <c r="G131" s="2" t="s">
        <v>12</v>
      </c>
      <c r="H131" s="3" t="s">
        <v>471</v>
      </c>
      <c r="I131" s="10" t="str">
        <f>HYPERLINK("http://dx.doi.org/10.13040/IJPSR.0975-8232.10(8).3898-04","http://dx.doi.org/10.13040/IJPSR.0975-8232.10(8).3898-04")</f>
        <v>http://dx.doi.org/10.13040/IJPSR.0975-8232.10(8).3898-04</v>
      </c>
    </row>
    <row r="132" spans="1:9" ht="45" x14ac:dyDescent="0.25">
      <c r="A132" s="2">
        <v>129</v>
      </c>
      <c r="B132" s="3" t="s">
        <v>472</v>
      </c>
      <c r="C132" s="3" t="s">
        <v>45</v>
      </c>
      <c r="D132" s="3" t="s">
        <v>473</v>
      </c>
      <c r="E132" s="2">
        <v>2019</v>
      </c>
      <c r="F132" s="3" t="s">
        <v>474</v>
      </c>
      <c r="G132" s="2" t="s">
        <v>12</v>
      </c>
      <c r="H132" s="3" t="s">
        <v>72</v>
      </c>
      <c r="I132" s="10" t="str">
        <f>HYPERLINK("http://dx.doi.org/10.1109/i2ct45611.2019.9033823","http://dx.doi.org/10.1109/i2ct45611.2019.9033823")</f>
        <v>http://dx.doi.org/10.1109/i2ct45611.2019.9033823</v>
      </c>
    </row>
    <row r="133" spans="1:9" ht="105" x14ac:dyDescent="0.25">
      <c r="A133" s="2">
        <v>130</v>
      </c>
      <c r="B133" s="3" t="s">
        <v>475</v>
      </c>
      <c r="C133" s="3" t="s">
        <v>45</v>
      </c>
      <c r="D133" s="3" t="s">
        <v>476</v>
      </c>
      <c r="E133" s="2">
        <v>2019</v>
      </c>
      <c r="F133" s="3" t="s">
        <v>477</v>
      </c>
      <c r="G133" s="2" t="s">
        <v>12</v>
      </c>
      <c r="H133" s="3" t="s">
        <v>18</v>
      </c>
      <c r="I133" s="10" t="str">
        <f>HYPERLINK("http://dx.doi.org/10.1007/978-981-13-2514-4_31","http://dx.doi.org/10.1007/978-981-13-2514-4_31")</f>
        <v>http://dx.doi.org/10.1007/978-981-13-2514-4_31</v>
      </c>
    </row>
    <row r="134" spans="1:9" ht="75" x14ac:dyDescent="0.25">
      <c r="A134" s="2">
        <v>131</v>
      </c>
      <c r="B134" s="3" t="s">
        <v>478</v>
      </c>
      <c r="C134" s="3" t="s">
        <v>479</v>
      </c>
      <c r="D134" s="3" t="s">
        <v>480</v>
      </c>
      <c r="E134" s="2">
        <v>2023</v>
      </c>
      <c r="F134" s="3" t="s">
        <v>481</v>
      </c>
      <c r="G134" s="2" t="s">
        <v>12</v>
      </c>
      <c r="H134" s="3" t="s">
        <v>38</v>
      </c>
      <c r="I134" s="10" t="str">
        <f>HYPERLINK("http://dx.doi.org/10.2174/1570180819666220613094708","http://dx.doi.org/10.2174/1570180819666220613094708")</f>
        <v>http://dx.doi.org/10.2174/1570180819666220613094708</v>
      </c>
    </row>
    <row r="135" spans="1:9" ht="75" x14ac:dyDescent="0.25">
      <c r="A135" s="2">
        <v>132</v>
      </c>
      <c r="B135" s="3" t="s">
        <v>482</v>
      </c>
      <c r="C135" s="3" t="s">
        <v>362</v>
      </c>
      <c r="D135" s="3" t="s">
        <v>483</v>
      </c>
      <c r="E135" s="2">
        <v>2023</v>
      </c>
      <c r="F135" s="3" t="s">
        <v>484</v>
      </c>
      <c r="G135" s="2" t="s">
        <v>12</v>
      </c>
      <c r="H135" s="3" t="s">
        <v>485</v>
      </c>
      <c r="I135" s="10" t="str">
        <f>HYPERLINK("http://dx.doi.org/10.5530/001954641137","http://dx.doi.org/10.5530/001954641137")</f>
        <v>http://dx.doi.org/10.5530/001954641137</v>
      </c>
    </row>
    <row r="136" spans="1:9" ht="75" x14ac:dyDescent="0.25">
      <c r="A136" s="2">
        <v>133</v>
      </c>
      <c r="B136" s="3" t="s">
        <v>486</v>
      </c>
      <c r="C136" s="3" t="s">
        <v>487</v>
      </c>
      <c r="D136" s="3" t="s">
        <v>488</v>
      </c>
      <c r="E136" s="2">
        <v>2022</v>
      </c>
      <c r="F136" s="3" t="s">
        <v>489</v>
      </c>
      <c r="G136" s="2" t="s">
        <v>12</v>
      </c>
      <c r="H136" s="3" t="s">
        <v>490</v>
      </c>
      <c r="I136" s="10" t="str">
        <f>HYPERLINK("http://dx.doi.org/10.1578/appl.4578.325","http://dx.doi.org/10.1578/appl.4578.325")</f>
        <v>http://dx.doi.org/10.1578/appl.4578.325</v>
      </c>
    </row>
    <row r="137" spans="1:9" ht="75" x14ac:dyDescent="0.25">
      <c r="A137" s="2">
        <v>134</v>
      </c>
      <c r="B137" s="3" t="s">
        <v>491</v>
      </c>
      <c r="C137" s="3" t="s">
        <v>492</v>
      </c>
      <c r="D137" s="3" t="s">
        <v>493</v>
      </c>
      <c r="E137" s="2">
        <v>2019</v>
      </c>
      <c r="F137" s="3" t="s">
        <v>494</v>
      </c>
      <c r="G137" s="2" t="s">
        <v>12</v>
      </c>
      <c r="H137" s="3" t="s">
        <v>91</v>
      </c>
      <c r="I137" s="10" t="str">
        <f>HYPERLINK("http://dx.doi.org/10.1016/j.akcej.2018.01.015","http://dx.doi.org/10.1016/j.akcej.2018.01.015")</f>
        <v>http://dx.doi.org/10.1016/j.akcej.2018.01.015</v>
      </c>
    </row>
    <row r="138" spans="1:9" ht="60" x14ac:dyDescent="0.25">
      <c r="A138" s="2">
        <v>135</v>
      </c>
      <c r="B138" s="3" t="s">
        <v>44</v>
      </c>
      <c r="C138" s="3" t="s">
        <v>495</v>
      </c>
      <c r="D138" s="3" t="s">
        <v>496</v>
      </c>
      <c r="E138" s="2">
        <v>2019</v>
      </c>
      <c r="F138" s="3" t="s">
        <v>497</v>
      </c>
      <c r="G138" s="2" t="s">
        <v>12</v>
      </c>
      <c r="H138" s="3" t="s">
        <v>48</v>
      </c>
      <c r="I138" s="10" t="str">
        <f>HYPERLINK("http://dx.doi.org/10.1007/s11164-018-3599-2","http://dx.doi.org/10.1007/s11164-018-3599-2")</f>
        <v>http://dx.doi.org/10.1007/s11164-018-3599-2</v>
      </c>
    </row>
    <row r="139" spans="1:9" ht="90" x14ac:dyDescent="0.25">
      <c r="A139" s="2">
        <v>136</v>
      </c>
      <c r="B139" s="3" t="s">
        <v>498</v>
      </c>
      <c r="C139" s="3" t="s">
        <v>499</v>
      </c>
      <c r="D139" s="3" t="s">
        <v>500</v>
      </c>
      <c r="E139" s="2">
        <v>2019</v>
      </c>
      <c r="F139" s="3" t="s">
        <v>346</v>
      </c>
      <c r="G139" s="2" t="s">
        <v>12</v>
      </c>
      <c r="H139" s="3" t="s">
        <v>18</v>
      </c>
      <c r="I139" s="10" t="str">
        <f>HYPERLINK("http://dx.doi.org/10.1007/978-981-13-1274-8_29","http://dx.doi.org/10.1007/978-981-13-1274-8_29")</f>
        <v>http://dx.doi.org/10.1007/978-981-13-1274-8_29</v>
      </c>
    </row>
    <row r="140" spans="1:9" ht="105" x14ac:dyDescent="0.25">
      <c r="A140" s="2">
        <v>137</v>
      </c>
      <c r="B140" s="3" t="s">
        <v>501</v>
      </c>
      <c r="C140" s="3" t="s">
        <v>502</v>
      </c>
      <c r="D140" s="3" t="s">
        <v>503</v>
      </c>
      <c r="E140" s="2">
        <v>2018</v>
      </c>
      <c r="F140" s="3" t="s">
        <v>504</v>
      </c>
      <c r="G140" s="2" t="s">
        <v>12</v>
      </c>
      <c r="H140" s="3" t="s">
        <v>48</v>
      </c>
      <c r="I140" s="10" t="str">
        <f>HYPERLINK("http://dx.doi.org/10.1007/s11164-018-3570-2","http://dx.doi.org/10.1007/s11164-018-3570-2")</f>
        <v>http://dx.doi.org/10.1007/s11164-018-3570-2</v>
      </c>
    </row>
    <row r="141" spans="1:9" ht="105" x14ac:dyDescent="0.25">
      <c r="A141" s="2">
        <v>138</v>
      </c>
      <c r="B141" s="3" t="s">
        <v>505</v>
      </c>
      <c r="C141" s="3" t="s">
        <v>506</v>
      </c>
      <c r="D141" s="3" t="s">
        <v>507</v>
      </c>
      <c r="E141" s="2">
        <v>2022</v>
      </c>
      <c r="F141" s="3" t="s">
        <v>261</v>
      </c>
      <c r="G141" s="2" t="s">
        <v>12</v>
      </c>
      <c r="H141" s="3" t="s">
        <v>508</v>
      </c>
      <c r="I141" s="10" t="str">
        <f>HYPERLINK("http://dx.doi.org/10.52280/pujm.2021.540205","http://dx.doi.org/10.52280/pujm.2021.540205")</f>
        <v>http://dx.doi.org/10.52280/pujm.2021.540205</v>
      </c>
    </row>
    <row r="142" spans="1:9" ht="90" x14ac:dyDescent="0.25">
      <c r="A142" s="2">
        <v>139</v>
      </c>
      <c r="B142" s="3" t="s">
        <v>509</v>
      </c>
      <c r="C142" s="3" t="s">
        <v>510</v>
      </c>
      <c r="D142" s="3" t="s">
        <v>511</v>
      </c>
      <c r="E142" s="2">
        <v>2021</v>
      </c>
      <c r="F142" s="3" t="s">
        <v>512</v>
      </c>
      <c r="G142" s="2" t="s">
        <v>12</v>
      </c>
      <c r="H142" s="3" t="s">
        <v>181</v>
      </c>
      <c r="I142" s="10" t="str">
        <f>HYPERLINK("http://dx.doi.org/10.1016/j.electacta.2021.139111","http://dx.doi.org/10.1016/j.electacta.2021.139111")</f>
        <v>http://dx.doi.org/10.1016/j.electacta.2021.139111</v>
      </c>
    </row>
    <row r="143" spans="1:9" ht="90" x14ac:dyDescent="0.25">
      <c r="A143" s="2">
        <v>140</v>
      </c>
      <c r="B143" s="3" t="s">
        <v>513</v>
      </c>
      <c r="C143" s="3" t="s">
        <v>514</v>
      </c>
      <c r="D143" s="3" t="s">
        <v>515</v>
      </c>
      <c r="E143" s="2">
        <v>2020</v>
      </c>
      <c r="F143" s="3" t="s">
        <v>516</v>
      </c>
      <c r="G143" s="2" t="s">
        <v>12</v>
      </c>
      <c r="H143" s="3" t="s">
        <v>28</v>
      </c>
      <c r="I143" s="10" t="str">
        <f>HYPERLINK("http://dx.doi.org/10.1021/acssuschemeng.9b06918","http://dx.doi.org/10.1021/acssuschemeng.9b06918")</f>
        <v>http://dx.doi.org/10.1021/acssuschemeng.9b06918</v>
      </c>
    </row>
    <row r="144" spans="1:9" ht="75" x14ac:dyDescent="0.25">
      <c r="A144" s="2">
        <v>141</v>
      </c>
      <c r="B144" s="3" t="s">
        <v>517</v>
      </c>
      <c r="C144" s="3" t="s">
        <v>518</v>
      </c>
      <c r="D144" s="3" t="s">
        <v>519</v>
      </c>
      <c r="E144" s="2">
        <v>2020</v>
      </c>
      <c r="F144" s="3" t="s">
        <v>261</v>
      </c>
      <c r="G144" s="2" t="s">
        <v>12</v>
      </c>
      <c r="H144" s="3" t="s">
        <v>520</v>
      </c>
      <c r="I144" s="10" t="str">
        <f>HYPERLINK("http://dx.doi.org/10.30492/IJCCE.2020.32997","http://dx.doi.org/10.30492/IJCCE.2020.32997")</f>
        <v>http://dx.doi.org/10.30492/IJCCE.2020.32997</v>
      </c>
    </row>
    <row r="145" spans="1:9" ht="45" x14ac:dyDescent="0.25">
      <c r="A145" s="2">
        <v>142</v>
      </c>
      <c r="B145" s="3" t="s">
        <v>521</v>
      </c>
      <c r="C145" s="3" t="s">
        <v>522</v>
      </c>
      <c r="D145" s="3" t="s">
        <v>523</v>
      </c>
      <c r="E145" s="2">
        <v>2019</v>
      </c>
      <c r="F145" s="3" t="s">
        <v>524</v>
      </c>
      <c r="G145" s="2" t="s">
        <v>12</v>
      </c>
      <c r="H145" s="3" t="s">
        <v>525</v>
      </c>
      <c r="I145" s="10" t="str">
        <f>HYPERLINK("http://dx.doi.org/10.1063/1.5086626","http://dx.doi.org/10.1063/1.5086626")</f>
        <v>http://dx.doi.org/10.1063/1.5086626</v>
      </c>
    </row>
    <row r="146" spans="1:9" ht="90" x14ac:dyDescent="0.25">
      <c r="A146" s="2">
        <v>143</v>
      </c>
      <c r="B146" s="3" t="s">
        <v>526</v>
      </c>
      <c r="C146" s="3" t="s">
        <v>527</v>
      </c>
      <c r="D146" s="3" t="s">
        <v>528</v>
      </c>
      <c r="E146" s="2">
        <v>2018</v>
      </c>
      <c r="F146" s="3" t="s">
        <v>529</v>
      </c>
      <c r="G146" s="2" t="s">
        <v>12</v>
      </c>
      <c r="H146" s="3" t="s">
        <v>530</v>
      </c>
      <c r="I146" s="10" t="str">
        <f>HYPERLINK("http://dx.doi.org/10.1515/hc-2017-0130","http://dx.doi.org/10.1515/hc-2017-0130")</f>
        <v>http://dx.doi.org/10.1515/hc-2017-0130</v>
      </c>
    </row>
    <row r="147" spans="1:9" ht="75" x14ac:dyDescent="0.25">
      <c r="A147" s="2">
        <v>144</v>
      </c>
      <c r="B147" s="3" t="s">
        <v>531</v>
      </c>
      <c r="C147" s="3" t="s">
        <v>532</v>
      </c>
      <c r="D147" s="3" t="s">
        <v>533</v>
      </c>
      <c r="E147" s="2">
        <v>2018</v>
      </c>
      <c r="F147" s="3" t="s">
        <v>534</v>
      </c>
      <c r="G147" s="2" t="s">
        <v>12</v>
      </c>
      <c r="H147" s="3" t="s">
        <v>72</v>
      </c>
      <c r="I147" s="10" t="s">
        <v>535</v>
      </c>
    </row>
    <row r="148" spans="1:9" ht="75" x14ac:dyDescent="0.25">
      <c r="A148" s="2">
        <v>145</v>
      </c>
      <c r="B148" s="3" t="s">
        <v>536</v>
      </c>
      <c r="C148" s="3" t="s">
        <v>537</v>
      </c>
      <c r="D148" s="3" t="s">
        <v>538</v>
      </c>
      <c r="E148" s="2">
        <v>2018</v>
      </c>
      <c r="F148" s="3" t="s">
        <v>539</v>
      </c>
      <c r="G148" s="2" t="s">
        <v>12</v>
      </c>
      <c r="H148" s="3" t="s">
        <v>540</v>
      </c>
      <c r="I148" s="10" t="s">
        <v>541</v>
      </c>
    </row>
    <row r="149" spans="1:9" ht="90" x14ac:dyDescent="0.25">
      <c r="A149" s="2">
        <v>146</v>
      </c>
      <c r="B149" s="3" t="s">
        <v>542</v>
      </c>
      <c r="C149" s="3" t="s">
        <v>543</v>
      </c>
      <c r="D149" s="3" t="s">
        <v>544</v>
      </c>
      <c r="E149" s="2">
        <v>2023</v>
      </c>
      <c r="F149" s="3" t="s">
        <v>545</v>
      </c>
      <c r="G149" s="2" t="s">
        <v>12</v>
      </c>
      <c r="H149" s="3" t="s">
        <v>48</v>
      </c>
      <c r="I149" s="10" t="str">
        <f>HYPERLINK("http://dx.doi.org/10.1007/s12668-023-01122-0","http://dx.doi.org/10.1007/s12668-023-01122-0")</f>
        <v>http://dx.doi.org/10.1007/s12668-023-01122-0</v>
      </c>
    </row>
    <row r="150" spans="1:9" ht="120" x14ac:dyDescent="0.25">
      <c r="A150" s="2">
        <v>147</v>
      </c>
      <c r="B150" s="3" t="s">
        <v>34</v>
      </c>
      <c r="C150" s="3" t="s">
        <v>546</v>
      </c>
      <c r="D150" s="3" t="s">
        <v>547</v>
      </c>
      <c r="E150" s="2">
        <v>2021</v>
      </c>
      <c r="F150" s="3" t="s">
        <v>548</v>
      </c>
      <c r="G150" s="2" t="s">
        <v>12</v>
      </c>
      <c r="H150" s="3" t="s">
        <v>277</v>
      </c>
      <c r="I150" s="10" t="str">
        <f>HYPERLINK("http://dx.doi.org/10.1016/j.molliq.2021.117191","http://dx.doi.org/10.1016/j.molliq.2021.117191")</f>
        <v>http://dx.doi.org/10.1016/j.molliq.2021.117191</v>
      </c>
    </row>
    <row r="151" spans="1:9" ht="60" x14ac:dyDescent="0.25">
      <c r="A151" s="2">
        <v>148</v>
      </c>
      <c r="B151" s="3" t="s">
        <v>549</v>
      </c>
      <c r="C151" s="3" t="s">
        <v>550</v>
      </c>
      <c r="D151" s="3" t="s">
        <v>551</v>
      </c>
      <c r="E151" s="2">
        <v>2022</v>
      </c>
      <c r="F151" s="3" t="s">
        <v>552</v>
      </c>
      <c r="G151" s="2" t="s">
        <v>12</v>
      </c>
      <c r="H151" s="3" t="s">
        <v>553</v>
      </c>
      <c r="I151" s="10" t="str">
        <f>HYPERLINK("http://dx.doi.org/10.1007/s40010-020-00724-7","http://dx.doi.org/10.1007/s40010-020-00724-7")</f>
        <v>http://dx.doi.org/10.1007/s40010-020-00724-7</v>
      </c>
    </row>
    <row r="152" spans="1:9" ht="30" x14ac:dyDescent="0.25">
      <c r="A152" s="2">
        <v>149</v>
      </c>
      <c r="B152" s="3" t="s">
        <v>554</v>
      </c>
      <c r="C152" s="3" t="s">
        <v>555</v>
      </c>
      <c r="D152" s="3" t="s">
        <v>556</v>
      </c>
      <c r="E152" s="2">
        <v>2019</v>
      </c>
      <c r="F152" s="3" t="s">
        <v>504</v>
      </c>
      <c r="G152" s="2" t="s">
        <v>12</v>
      </c>
      <c r="H152" s="3" t="s">
        <v>18</v>
      </c>
      <c r="I152" s="10" t="str">
        <f>HYPERLINK("http://dx.doi.org/10.1007/978-981-13-2354-6_30","http://dx.doi.org/10.1007/978-981-13-2354-6_30")</f>
        <v>http://dx.doi.org/10.1007/978-981-13-2354-6_30</v>
      </c>
    </row>
    <row r="153" spans="1:9" ht="90" x14ac:dyDescent="0.25">
      <c r="A153" s="2">
        <v>150</v>
      </c>
      <c r="B153" s="3" t="s">
        <v>557</v>
      </c>
      <c r="C153" s="3" t="s">
        <v>164</v>
      </c>
      <c r="D153" s="3" t="s">
        <v>558</v>
      </c>
      <c r="E153" s="2">
        <v>2018</v>
      </c>
      <c r="F153" s="3" t="s">
        <v>559</v>
      </c>
      <c r="G153" s="2" t="s">
        <v>12</v>
      </c>
      <c r="H153" s="3" t="s">
        <v>560</v>
      </c>
      <c r="I153" s="10" t="str">
        <f>HYPERLINK("http://dx.doi.org/10.26713/cma.v9i4.591","http://dx.doi.org/10.26713/cma.v9i4.591")</f>
        <v>http://dx.doi.org/10.26713/cma.v9i4.591</v>
      </c>
    </row>
    <row r="154" spans="1:9" ht="90" x14ac:dyDescent="0.25">
      <c r="A154" s="2">
        <v>151</v>
      </c>
      <c r="B154" s="3" t="s">
        <v>561</v>
      </c>
      <c r="C154" s="3" t="s">
        <v>75</v>
      </c>
      <c r="D154" s="3" t="s">
        <v>562</v>
      </c>
      <c r="E154" s="2">
        <v>2021</v>
      </c>
      <c r="F154" s="3" t="s">
        <v>563</v>
      </c>
      <c r="G154" s="2" t="s">
        <v>12</v>
      </c>
      <c r="H154" s="3" t="s">
        <v>564</v>
      </c>
      <c r="I154" s="10" t="str">
        <f>HYPERLINK("http://dx.doi.org/10.9734/JPRI/2021/v33i41A32325","http://dx.doi.org/10.9734/JPRI/2021/v33i41A32325")</f>
        <v>http://dx.doi.org/10.9734/JPRI/2021/v33i41A32325</v>
      </c>
    </row>
    <row r="155" spans="1:9" ht="90" x14ac:dyDescent="0.25">
      <c r="A155" s="2">
        <v>152</v>
      </c>
      <c r="B155" s="3" t="s">
        <v>565</v>
      </c>
      <c r="C155" s="3" t="s">
        <v>192</v>
      </c>
      <c r="D155" s="3" t="s">
        <v>566</v>
      </c>
      <c r="E155" s="2">
        <v>2020</v>
      </c>
      <c r="F155" s="3" t="s">
        <v>567</v>
      </c>
      <c r="G155" s="2" t="s">
        <v>12</v>
      </c>
      <c r="H155" s="3" t="s">
        <v>568</v>
      </c>
      <c r="I155" s="10" t="str">
        <f>HYPERLINK("http://dx.doi.org/10.26858/ijole.v4i2.10106","http://dx.doi.org/10.26858/ijole.v4i2.10106")</f>
        <v>http://dx.doi.org/10.26858/ijole.v4i2.10106</v>
      </c>
    </row>
    <row r="156" spans="1:9" ht="75" x14ac:dyDescent="0.25">
      <c r="A156" s="2">
        <v>153</v>
      </c>
      <c r="B156" s="3" t="s">
        <v>569</v>
      </c>
      <c r="C156" s="3" t="s">
        <v>570</v>
      </c>
      <c r="D156" s="3" t="s">
        <v>571</v>
      </c>
      <c r="E156" s="2">
        <v>2018</v>
      </c>
      <c r="F156" s="3" t="s">
        <v>545</v>
      </c>
      <c r="G156" s="2" t="s">
        <v>12</v>
      </c>
      <c r="H156" s="3" t="s">
        <v>91</v>
      </c>
      <c r="I156" s="10" t="str">
        <f>HYPERLINK("http://dx.doi.org/10.1080/10837450.2017.1287730","http://dx.doi.org/10.1080/10837450.2017.1287730")</f>
        <v>http://dx.doi.org/10.1080/10837450.2017.1287730</v>
      </c>
    </row>
    <row r="157" spans="1:9" ht="60" x14ac:dyDescent="0.25">
      <c r="A157" s="2">
        <v>154</v>
      </c>
      <c r="B157" s="3" t="s">
        <v>572</v>
      </c>
      <c r="C157" s="3" t="s">
        <v>573</v>
      </c>
      <c r="D157" s="3" t="s">
        <v>574</v>
      </c>
      <c r="E157" s="2">
        <v>2018</v>
      </c>
      <c r="F157" s="3" t="s">
        <v>575</v>
      </c>
      <c r="G157" s="2" t="s">
        <v>12</v>
      </c>
      <c r="H157" s="3" t="s">
        <v>72</v>
      </c>
      <c r="I157" s="10" t="s">
        <v>576</v>
      </c>
    </row>
    <row r="158" spans="1:9" ht="105" x14ac:dyDescent="0.25">
      <c r="A158" s="2">
        <v>155</v>
      </c>
      <c r="B158" s="3" t="s">
        <v>577</v>
      </c>
      <c r="C158" s="3" t="s">
        <v>578</v>
      </c>
      <c r="D158" s="3" t="s">
        <v>579</v>
      </c>
      <c r="E158" s="2">
        <v>2023</v>
      </c>
      <c r="F158" s="3" t="s">
        <v>559</v>
      </c>
      <c r="G158" s="2" t="s">
        <v>12</v>
      </c>
      <c r="H158" s="3" t="s">
        <v>48</v>
      </c>
      <c r="I158" s="10" t="str">
        <f>HYPERLINK("http://dx.doi.org/10.1007/s12247-023-09746-1","http://dx.doi.org/10.1007/s12247-023-09746-1")</f>
        <v>http://dx.doi.org/10.1007/s12247-023-09746-1</v>
      </c>
    </row>
    <row r="159" spans="1:9" ht="90" x14ac:dyDescent="0.25">
      <c r="A159" s="2">
        <v>156</v>
      </c>
      <c r="B159" s="3" t="s">
        <v>130</v>
      </c>
      <c r="C159" s="3" t="s">
        <v>580</v>
      </c>
      <c r="D159" s="3" t="s">
        <v>581</v>
      </c>
      <c r="E159" s="2">
        <v>2022</v>
      </c>
      <c r="F159" s="3" t="s">
        <v>582</v>
      </c>
      <c r="G159" s="2" t="s">
        <v>12</v>
      </c>
      <c r="H159" s="3" t="s">
        <v>583</v>
      </c>
      <c r="I159" s="10" t="str">
        <f>HYPERLINK("http://dx.doi.org/10.1155/2022/6716830","http://dx.doi.org/10.1155/2022/6716830")</f>
        <v>http://dx.doi.org/10.1155/2022/6716830</v>
      </c>
    </row>
    <row r="160" spans="1:9" ht="105" x14ac:dyDescent="0.25">
      <c r="A160" s="2">
        <v>157</v>
      </c>
      <c r="B160" s="3" t="s">
        <v>584</v>
      </c>
      <c r="C160" s="3" t="s">
        <v>56</v>
      </c>
      <c r="D160" s="3" t="s">
        <v>585</v>
      </c>
      <c r="E160" s="2">
        <v>2022</v>
      </c>
      <c r="F160" s="3" t="s">
        <v>586</v>
      </c>
      <c r="G160" s="2" t="s">
        <v>12</v>
      </c>
      <c r="H160" s="3" t="s">
        <v>587</v>
      </c>
      <c r="I160" s="10" t="str">
        <f>HYPERLINK("http://dx.doi.org/10.47750/pnr.2022.13.S06.332","http://dx.doi.org/10.47750/pnr.2022.13.S06.332")</f>
        <v>http://dx.doi.org/10.47750/pnr.2022.13.S06.332</v>
      </c>
    </row>
    <row r="161" spans="1:9" ht="60" x14ac:dyDescent="0.25">
      <c r="A161" s="2">
        <v>158</v>
      </c>
      <c r="B161" s="3" t="s">
        <v>381</v>
      </c>
      <c r="C161" s="3" t="s">
        <v>588</v>
      </c>
      <c r="D161" s="3" t="s">
        <v>589</v>
      </c>
      <c r="E161" s="2">
        <v>2021</v>
      </c>
      <c r="F161" s="3" t="s">
        <v>590</v>
      </c>
      <c r="G161" s="2" t="s">
        <v>12</v>
      </c>
      <c r="H161" s="3" t="s">
        <v>48</v>
      </c>
      <c r="I161" s="10" t="str">
        <f>HYPERLINK("http://dx.doi.org/10.1186/s13661-021-01543-4","http://dx.doi.org/10.1186/s13661-021-01543-4")</f>
        <v>http://dx.doi.org/10.1186/s13661-021-01543-4</v>
      </c>
    </row>
    <row r="162" spans="1:9" ht="45" x14ac:dyDescent="0.25">
      <c r="A162" s="2">
        <v>159</v>
      </c>
      <c r="B162" s="3" t="s">
        <v>591</v>
      </c>
      <c r="C162" s="3" t="s">
        <v>592</v>
      </c>
      <c r="D162" s="3" t="s">
        <v>593</v>
      </c>
      <c r="E162" s="2">
        <v>2021</v>
      </c>
      <c r="F162" s="3" t="s">
        <v>594</v>
      </c>
      <c r="G162" s="2" t="s">
        <v>12</v>
      </c>
      <c r="H162" s="3" t="s">
        <v>72</v>
      </c>
      <c r="I162" s="10" t="str">
        <f>HYPERLINK("http://dx.doi.org/10.1109/MTICTI53925.2021.9664779","http://dx.doi.org/10.1109/MTICTI53925.2021.9664779")</f>
        <v>http://dx.doi.org/10.1109/MTICTI53925.2021.9664779</v>
      </c>
    </row>
    <row r="163" spans="1:9" ht="45" x14ac:dyDescent="0.25">
      <c r="A163" s="2">
        <v>160</v>
      </c>
      <c r="B163" s="3" t="s">
        <v>595</v>
      </c>
      <c r="C163" s="3" t="s">
        <v>458</v>
      </c>
      <c r="D163" s="3" t="s">
        <v>596</v>
      </c>
      <c r="E163" s="2">
        <v>2019</v>
      </c>
      <c r="F163" s="3" t="s">
        <v>597</v>
      </c>
      <c r="G163" s="2" t="s">
        <v>12</v>
      </c>
      <c r="H163" s="3" t="s">
        <v>84</v>
      </c>
      <c r="I163" s="10" t="str">
        <f>HYPERLINK("http://dx.doi.org/10.1142/S1793557119500529","http://dx.doi.org/10.1142/S1793557119500529")</f>
        <v>http://dx.doi.org/10.1142/S1793557119500529</v>
      </c>
    </row>
    <row r="164" spans="1:9" ht="135" x14ac:dyDescent="0.25">
      <c r="A164" s="2">
        <v>161</v>
      </c>
      <c r="B164" s="3" t="s">
        <v>598</v>
      </c>
      <c r="C164" s="3" t="s">
        <v>599</v>
      </c>
      <c r="D164" s="3" t="s">
        <v>600</v>
      </c>
      <c r="E164" s="2">
        <v>2019</v>
      </c>
      <c r="F164" s="3" t="s">
        <v>601</v>
      </c>
      <c r="G164" s="2" t="s">
        <v>12</v>
      </c>
      <c r="H164" s="3" t="s">
        <v>205</v>
      </c>
      <c r="I164" s="10" t="str">
        <f>HYPERLINK("http://dx.doi.org/10.1080/00397911.2019.1619772","http://dx.doi.org/10.1080/00397911.2019.1619772")</f>
        <v>http://dx.doi.org/10.1080/00397911.2019.1619772</v>
      </c>
    </row>
    <row r="165" spans="1:9" ht="90" x14ac:dyDescent="0.25">
      <c r="A165" s="2">
        <v>162</v>
      </c>
      <c r="B165" s="3" t="s">
        <v>602</v>
      </c>
      <c r="C165" s="3" t="s">
        <v>603</v>
      </c>
      <c r="D165" s="3" t="s">
        <v>604</v>
      </c>
      <c r="E165" s="2">
        <v>2022</v>
      </c>
      <c r="F165" s="3" t="s">
        <v>605</v>
      </c>
      <c r="G165" s="2" t="s">
        <v>12</v>
      </c>
      <c r="H165" s="3" t="s">
        <v>91</v>
      </c>
      <c r="I165" s="10" t="str">
        <f>HYPERLINK("http://dx.doi.org/10.1080/21693277.2022.2089264","http://dx.doi.org/10.1080/21693277.2022.2089264")</f>
        <v>http://dx.doi.org/10.1080/21693277.2022.2089264</v>
      </c>
    </row>
    <row r="166" spans="1:9" ht="75" x14ac:dyDescent="0.25">
      <c r="A166" s="2">
        <v>163</v>
      </c>
      <c r="B166" s="3" t="s">
        <v>606</v>
      </c>
      <c r="C166" s="3" t="s">
        <v>607</v>
      </c>
      <c r="D166" s="3" t="s">
        <v>608</v>
      </c>
      <c r="E166" s="2">
        <v>2022</v>
      </c>
      <c r="F166" s="3" t="s">
        <v>494</v>
      </c>
      <c r="G166" s="2" t="s">
        <v>12</v>
      </c>
      <c r="H166" s="3" t="s">
        <v>583</v>
      </c>
      <c r="I166" s="10" t="str">
        <f>HYPERLINK("http://dx.doi.org/10.1155/2022/3131153","http://dx.doi.org/10.1155/2022/3131153")</f>
        <v>http://dx.doi.org/10.1155/2022/3131153</v>
      </c>
    </row>
    <row r="167" spans="1:9" ht="60" x14ac:dyDescent="0.25">
      <c r="A167" s="2">
        <v>164</v>
      </c>
      <c r="B167" s="3" t="s">
        <v>609</v>
      </c>
      <c r="C167" s="3" t="s">
        <v>610</v>
      </c>
      <c r="D167" s="3" t="s">
        <v>611</v>
      </c>
      <c r="E167" s="2">
        <v>2022</v>
      </c>
      <c r="F167" s="3" t="s">
        <v>313</v>
      </c>
      <c r="G167" s="2" t="s">
        <v>12</v>
      </c>
      <c r="H167" s="3" t="s">
        <v>612</v>
      </c>
      <c r="I167" s="10" t="str">
        <f>HYPERLINK("http://dx.doi.org/10.1504/IJKBD.2022.128905","http://dx.doi.org/10.1504/IJKBD.2022.128905")</f>
        <v>http://dx.doi.org/10.1504/IJKBD.2022.128905</v>
      </c>
    </row>
    <row r="168" spans="1:9" ht="45" x14ac:dyDescent="0.25">
      <c r="A168" s="2">
        <v>165</v>
      </c>
      <c r="B168" s="3" t="s">
        <v>613</v>
      </c>
      <c r="C168" s="3" t="s">
        <v>192</v>
      </c>
      <c r="D168" s="3" t="s">
        <v>614</v>
      </c>
      <c r="E168" s="2">
        <v>2021</v>
      </c>
      <c r="F168" s="3" t="s">
        <v>615</v>
      </c>
      <c r="G168" s="2" t="s">
        <v>12</v>
      </c>
      <c r="H168" s="3" t="s">
        <v>72</v>
      </c>
      <c r="I168" s="10" t="str">
        <f>HYPERLINK("http://dx.doi.org/10.1109/I2CT51068.2021.9417893","http://dx.doi.org/10.1109/I2CT51068.2021.9417893")</f>
        <v>http://dx.doi.org/10.1109/I2CT51068.2021.9417893</v>
      </c>
    </row>
    <row r="169" spans="1:9" ht="60" x14ac:dyDescent="0.25">
      <c r="A169" s="2">
        <v>166</v>
      </c>
      <c r="B169" s="3" t="s">
        <v>616</v>
      </c>
      <c r="C169" s="3" t="s">
        <v>81</v>
      </c>
      <c r="D169" s="3" t="s">
        <v>617</v>
      </c>
      <c r="E169" s="2">
        <v>2019</v>
      </c>
      <c r="F169" s="3" t="s">
        <v>618</v>
      </c>
      <c r="G169" s="2" t="s">
        <v>12</v>
      </c>
      <c r="H169" s="3" t="s">
        <v>58</v>
      </c>
      <c r="I169" s="10" t="str">
        <f>HYPERLINK("http://dx.doi.org/10.1039/c9ra06681k","http://dx.doi.org/10.1039/c9ra06681k")</f>
        <v>http://dx.doi.org/10.1039/c9ra06681k</v>
      </c>
    </row>
    <row r="170" spans="1:9" ht="45" x14ac:dyDescent="0.25">
      <c r="A170" s="2">
        <v>167</v>
      </c>
      <c r="B170" s="3" t="s">
        <v>619</v>
      </c>
      <c r="C170" s="3" t="s">
        <v>620</v>
      </c>
      <c r="D170" s="3" t="s">
        <v>621</v>
      </c>
      <c r="E170" s="2">
        <v>2019</v>
      </c>
      <c r="F170" s="3" t="s">
        <v>364</v>
      </c>
      <c r="G170" s="2" t="s">
        <v>12</v>
      </c>
      <c r="H170" s="3" t="s">
        <v>18</v>
      </c>
      <c r="I170" s="10" t="str">
        <f>HYPERLINK("http://dx.doi.org/10.1007/s42452-019-1219-4","http://dx.doi.org/10.1007/s42452-019-1219-4")</f>
        <v>http://dx.doi.org/10.1007/s42452-019-1219-4</v>
      </c>
    </row>
    <row r="171" spans="1:9" ht="75" x14ac:dyDescent="0.25">
      <c r="A171" s="2">
        <v>168</v>
      </c>
      <c r="B171" s="3" t="s">
        <v>622</v>
      </c>
      <c r="C171" s="3" t="s">
        <v>623</v>
      </c>
      <c r="D171" s="3" t="s">
        <v>624</v>
      </c>
      <c r="E171" s="2">
        <v>2018</v>
      </c>
      <c r="F171" s="3" t="s">
        <v>625</v>
      </c>
      <c r="G171" s="2" t="s">
        <v>12</v>
      </c>
      <c r="H171" s="3" t="s">
        <v>38</v>
      </c>
      <c r="I171" s="10" t="str">
        <f>HYPERLINK("http://dx.doi.org/10.2174/1573412913666170704150803","http://dx.doi.org/10.2174/1573412913666170704150803")</f>
        <v>http://dx.doi.org/10.2174/1573412913666170704150803</v>
      </c>
    </row>
    <row r="172" spans="1:9" ht="105" x14ac:dyDescent="0.25">
      <c r="A172" s="2">
        <v>169</v>
      </c>
      <c r="B172" s="3" t="s">
        <v>626</v>
      </c>
      <c r="C172" s="3" t="s">
        <v>603</v>
      </c>
      <c r="D172" s="3" t="s">
        <v>627</v>
      </c>
      <c r="E172" s="2">
        <v>2023</v>
      </c>
      <c r="F172" s="3" t="s">
        <v>628</v>
      </c>
      <c r="G172" s="2" t="s">
        <v>12</v>
      </c>
      <c r="H172" s="3" t="s">
        <v>38</v>
      </c>
      <c r="I172" s="10" t="str">
        <f>HYPERLINK("http://dx.doi.org/10.2174/1570180819666220215115633","http://dx.doi.org/10.2174/1570180819666220215115633")</f>
        <v>http://dx.doi.org/10.2174/1570180819666220215115633</v>
      </c>
    </row>
    <row r="173" spans="1:9" ht="45" x14ac:dyDescent="0.25">
      <c r="A173" s="2">
        <v>170</v>
      </c>
      <c r="B173" s="3" t="s">
        <v>629</v>
      </c>
      <c r="C173" s="3" t="s">
        <v>603</v>
      </c>
      <c r="D173" s="3" t="s">
        <v>630</v>
      </c>
      <c r="E173" s="2">
        <v>2021</v>
      </c>
      <c r="F173" s="3" t="s">
        <v>631</v>
      </c>
      <c r="G173" s="2" t="s">
        <v>12</v>
      </c>
      <c r="H173" s="3" t="s">
        <v>632</v>
      </c>
      <c r="I173" s="10" t="str">
        <f>HYPERLINK("http://dx.doi.org/10.22075/ijnaa.2020.13473.1697","http://dx.doi.org/10.22075/ijnaa.2020.13473.1697")</f>
        <v>http://dx.doi.org/10.22075/ijnaa.2020.13473.1697</v>
      </c>
    </row>
    <row r="174" spans="1:9" ht="45" x14ac:dyDescent="0.25">
      <c r="A174" s="2">
        <v>171</v>
      </c>
      <c r="B174" s="3" t="s">
        <v>633</v>
      </c>
      <c r="C174" s="3" t="s">
        <v>81</v>
      </c>
      <c r="D174" s="3" t="s">
        <v>634</v>
      </c>
      <c r="E174" s="2">
        <v>2019</v>
      </c>
      <c r="F174" s="3" t="s">
        <v>635</v>
      </c>
      <c r="G174" s="2" t="s">
        <v>12</v>
      </c>
      <c r="H174" s="3" t="s">
        <v>18</v>
      </c>
      <c r="I174" s="10" t="str">
        <f>HYPERLINK("http://dx.doi.org/10.1007/978-981-13-1513-8_24","http://dx.doi.org/10.1007/978-981-13-1513-8_24")</f>
        <v>http://dx.doi.org/10.1007/978-981-13-1513-8_24</v>
      </c>
    </row>
    <row r="175" spans="1:9" ht="45" x14ac:dyDescent="0.25">
      <c r="A175" s="2">
        <v>172</v>
      </c>
      <c r="B175" s="3" t="s">
        <v>636</v>
      </c>
      <c r="C175" s="3" t="s">
        <v>317</v>
      </c>
      <c r="D175" s="3" t="s">
        <v>637</v>
      </c>
      <c r="E175" s="2">
        <v>2023</v>
      </c>
      <c r="F175" s="3" t="s">
        <v>638</v>
      </c>
      <c r="G175" s="2" t="s">
        <v>12</v>
      </c>
      <c r="H175" s="3" t="s">
        <v>639</v>
      </c>
      <c r="I175" s="12" t="s">
        <v>3204</v>
      </c>
    </row>
    <row r="176" spans="1:9" ht="75" x14ac:dyDescent="0.25">
      <c r="A176" s="2">
        <v>173</v>
      </c>
      <c r="B176" s="3" t="s">
        <v>640</v>
      </c>
      <c r="C176" s="3" t="s">
        <v>641</v>
      </c>
      <c r="D176" s="3" t="s">
        <v>642</v>
      </c>
      <c r="E176" s="2">
        <v>2022</v>
      </c>
      <c r="F176" s="3" t="s">
        <v>631</v>
      </c>
      <c r="G176" s="2" t="s">
        <v>12</v>
      </c>
      <c r="H176" s="3" t="s">
        <v>439</v>
      </c>
      <c r="I176" s="10" t="str">
        <f>HYPERLINK("http://dx.doi.org/10.1007/s40808-021-01284-4","http://dx.doi.org/10.1007/s40808-021-01284-4")</f>
        <v>http://dx.doi.org/10.1007/s40808-021-01284-4</v>
      </c>
    </row>
    <row r="177" spans="1:9" ht="60" x14ac:dyDescent="0.25">
      <c r="A177" s="2">
        <v>174</v>
      </c>
      <c r="B177" s="3" t="s">
        <v>643</v>
      </c>
      <c r="C177" s="3" t="s">
        <v>644</v>
      </c>
      <c r="D177" s="3" t="s">
        <v>645</v>
      </c>
      <c r="E177" s="2">
        <v>2023</v>
      </c>
      <c r="F177" s="3" t="s">
        <v>261</v>
      </c>
      <c r="G177" s="2" t="s">
        <v>12</v>
      </c>
      <c r="H177" s="3" t="s">
        <v>67</v>
      </c>
      <c r="I177" s="10" t="str">
        <f>HYPERLINK("http://dx.doi.org/10.1002/cpe.7497","http://dx.doi.org/10.1002/cpe.7497")</f>
        <v>http://dx.doi.org/10.1002/cpe.7497</v>
      </c>
    </row>
    <row r="178" spans="1:9" ht="75" x14ac:dyDescent="0.25">
      <c r="A178" s="2">
        <v>175</v>
      </c>
      <c r="B178" s="3" t="s">
        <v>646</v>
      </c>
      <c r="C178" s="3" t="s">
        <v>647</v>
      </c>
      <c r="D178" s="3" t="s">
        <v>648</v>
      </c>
      <c r="E178" s="2">
        <v>2022</v>
      </c>
      <c r="F178" s="3" t="s">
        <v>649</v>
      </c>
      <c r="G178" s="2" t="s">
        <v>12</v>
      </c>
      <c r="H178" s="3" t="s">
        <v>205</v>
      </c>
      <c r="I178" s="10" t="str">
        <f>HYPERLINK("http://dx.doi.org/10.1080/00397911.2022.2039711","http://dx.doi.org/10.1080/00397911.2022.2039711")</f>
        <v>http://dx.doi.org/10.1080/00397911.2022.2039711</v>
      </c>
    </row>
    <row r="179" spans="1:9" ht="60" x14ac:dyDescent="0.25">
      <c r="A179" s="2">
        <v>176</v>
      </c>
      <c r="B179" s="3" t="s">
        <v>650</v>
      </c>
      <c r="C179" s="3" t="s">
        <v>651</v>
      </c>
      <c r="D179" s="3" t="s">
        <v>652</v>
      </c>
      <c r="E179" s="2">
        <v>2020</v>
      </c>
      <c r="F179" s="3" t="s">
        <v>653</v>
      </c>
      <c r="G179" s="2" t="s">
        <v>12</v>
      </c>
      <c r="H179" s="3" t="s">
        <v>91</v>
      </c>
      <c r="I179" s="10" t="str">
        <f>HYPERLINK("http://dx.doi.org/10.1080/10406638.2018.1441884","http://dx.doi.org/10.1080/10406638.2018.1441884")</f>
        <v>http://dx.doi.org/10.1080/10406638.2018.1441884</v>
      </c>
    </row>
    <row r="180" spans="1:9" ht="120" x14ac:dyDescent="0.25">
      <c r="A180" s="2">
        <v>177</v>
      </c>
      <c r="B180" s="3" t="s">
        <v>654</v>
      </c>
      <c r="C180" s="3" t="s">
        <v>655</v>
      </c>
      <c r="D180" s="3" t="s">
        <v>656</v>
      </c>
      <c r="E180" s="2">
        <v>2023</v>
      </c>
      <c r="F180" s="3" t="s">
        <v>313</v>
      </c>
      <c r="G180" s="2" t="s">
        <v>12</v>
      </c>
      <c r="H180" s="3" t="s">
        <v>38</v>
      </c>
      <c r="I180" s="10" t="str">
        <f>HYPERLINK("http://dx.doi.org/10.2174/1570179420666230126142238","http://dx.doi.org/10.2174/1570179420666230126142238")</f>
        <v>http://dx.doi.org/10.2174/1570179420666230126142238</v>
      </c>
    </row>
    <row r="181" spans="1:9" ht="45" x14ac:dyDescent="0.25">
      <c r="A181" s="2">
        <v>178</v>
      </c>
      <c r="B181" s="3" t="s">
        <v>657</v>
      </c>
      <c r="C181" s="3" t="s">
        <v>550</v>
      </c>
      <c r="D181" s="3" t="s">
        <v>658</v>
      </c>
      <c r="E181" s="2">
        <v>2023</v>
      </c>
      <c r="F181" s="3" t="s">
        <v>659</v>
      </c>
      <c r="G181" s="2" t="s">
        <v>12</v>
      </c>
      <c r="H181" s="3" t="s">
        <v>660</v>
      </c>
      <c r="I181" s="10" t="str">
        <f>HYPERLINK("http://dx.doi.org/10.21123/bsj.2023.8421","http://dx.doi.org/10.21123/bsj.2023.8421")</f>
        <v>http://dx.doi.org/10.21123/bsj.2023.8421</v>
      </c>
    </row>
    <row r="182" spans="1:9" ht="60" x14ac:dyDescent="0.25">
      <c r="A182" s="2">
        <v>179</v>
      </c>
      <c r="B182" s="3" t="s">
        <v>661</v>
      </c>
      <c r="C182" s="3" t="s">
        <v>60</v>
      </c>
      <c r="D182" s="3" t="s">
        <v>662</v>
      </c>
      <c r="E182" s="2">
        <v>2022</v>
      </c>
      <c r="F182" s="3" t="s">
        <v>618</v>
      </c>
      <c r="G182" s="2" t="s">
        <v>12</v>
      </c>
      <c r="H182" s="3" t="s">
        <v>639</v>
      </c>
      <c r="I182" s="12" t="s">
        <v>3204</v>
      </c>
    </row>
    <row r="183" spans="1:9" ht="60" x14ac:dyDescent="0.25">
      <c r="A183" s="2">
        <v>180</v>
      </c>
      <c r="B183" s="3" t="s">
        <v>663</v>
      </c>
      <c r="C183" s="3" t="s">
        <v>664</v>
      </c>
      <c r="D183" s="3" t="s">
        <v>665</v>
      </c>
      <c r="E183" s="2">
        <v>2022</v>
      </c>
      <c r="F183" s="3" t="s">
        <v>666</v>
      </c>
      <c r="G183" s="2" t="s">
        <v>12</v>
      </c>
      <c r="H183" s="3" t="s">
        <v>639</v>
      </c>
      <c r="I183" s="12" t="s">
        <v>3204</v>
      </c>
    </row>
    <row r="184" spans="1:9" ht="105" x14ac:dyDescent="0.25">
      <c r="A184" s="2">
        <v>181</v>
      </c>
      <c r="B184" s="3" t="s">
        <v>667</v>
      </c>
      <c r="C184" s="3" t="s">
        <v>668</v>
      </c>
      <c r="D184" s="3" t="s">
        <v>669</v>
      </c>
      <c r="E184" s="2">
        <v>2022</v>
      </c>
      <c r="F184" s="3" t="s">
        <v>670</v>
      </c>
      <c r="G184" s="2" t="s">
        <v>12</v>
      </c>
      <c r="H184" s="3" t="s">
        <v>91</v>
      </c>
      <c r="I184" s="10" t="str">
        <f>HYPERLINK("http://dx.doi.org/10.1080/10406638.2020.1823861","http://dx.doi.org/10.1080/10406638.2020.1823861")</f>
        <v>http://dx.doi.org/10.1080/10406638.2020.1823861</v>
      </c>
    </row>
    <row r="185" spans="1:9" ht="90" x14ac:dyDescent="0.25">
      <c r="A185" s="2">
        <v>182</v>
      </c>
      <c r="B185" s="3" t="s">
        <v>671</v>
      </c>
      <c r="C185" s="3" t="s">
        <v>240</v>
      </c>
      <c r="D185" s="3" t="s">
        <v>672</v>
      </c>
      <c r="E185" s="2">
        <v>2022</v>
      </c>
      <c r="F185" s="3" t="s">
        <v>481</v>
      </c>
      <c r="G185" s="2" t="s">
        <v>12</v>
      </c>
      <c r="H185" s="3" t="s">
        <v>23</v>
      </c>
      <c r="I185" s="10" t="str">
        <f>HYPERLINK("http://dx.doi.org/10.1002/jccs.202200248","http://dx.doi.org/10.1002/jccs.202200248")</f>
        <v>http://dx.doi.org/10.1002/jccs.202200248</v>
      </c>
    </row>
    <row r="186" spans="1:9" ht="195" x14ac:dyDescent="0.25">
      <c r="A186" s="2">
        <v>183</v>
      </c>
      <c r="B186" s="3" t="s">
        <v>673</v>
      </c>
      <c r="C186" s="3" t="s">
        <v>674</v>
      </c>
      <c r="D186" s="3" t="s">
        <v>675</v>
      </c>
      <c r="E186" s="2">
        <v>2018</v>
      </c>
      <c r="F186" s="3" t="s">
        <v>676</v>
      </c>
      <c r="G186" s="2" t="s">
        <v>12</v>
      </c>
      <c r="H186" s="3" t="s">
        <v>677</v>
      </c>
      <c r="I186" s="11" t="s">
        <v>678</v>
      </c>
    </row>
    <row r="187" spans="1:9" ht="90" x14ac:dyDescent="0.25">
      <c r="A187" s="2">
        <v>184</v>
      </c>
      <c r="B187" s="3" t="s">
        <v>679</v>
      </c>
      <c r="C187" s="3" t="s">
        <v>680</v>
      </c>
      <c r="D187" s="3" t="s">
        <v>681</v>
      </c>
      <c r="E187" s="2">
        <v>2021</v>
      </c>
      <c r="F187" s="3" t="s">
        <v>638</v>
      </c>
      <c r="G187" s="2" t="s">
        <v>12</v>
      </c>
      <c r="H187" s="3" t="s">
        <v>530</v>
      </c>
      <c r="I187" s="10" t="str">
        <f>HYPERLINK("http://dx.doi.org/10.1515/bams-2020-0053","http://dx.doi.org/10.1515/bams-2020-0053")</f>
        <v>http://dx.doi.org/10.1515/bams-2020-0053</v>
      </c>
    </row>
    <row r="188" spans="1:9" ht="45" x14ac:dyDescent="0.25">
      <c r="A188" s="2">
        <v>185</v>
      </c>
      <c r="B188" s="3" t="s">
        <v>682</v>
      </c>
      <c r="C188" s="3" t="s">
        <v>683</v>
      </c>
      <c r="D188" s="3" t="s">
        <v>684</v>
      </c>
      <c r="E188" s="2">
        <v>2020</v>
      </c>
      <c r="F188" s="3" t="s">
        <v>685</v>
      </c>
      <c r="G188" s="2" t="s">
        <v>12</v>
      </c>
      <c r="H188" s="3" t="s">
        <v>686</v>
      </c>
      <c r="I188" s="10" t="str">
        <f>HYPERLINK("http://dx.doi.org/10.1016/j.procs.2020.03.429","http://dx.doi.org/10.1016/j.procs.2020.03.429")</f>
        <v>http://dx.doi.org/10.1016/j.procs.2020.03.429</v>
      </c>
    </row>
    <row r="189" spans="1:9" ht="75" x14ac:dyDescent="0.25">
      <c r="A189" s="2">
        <v>186</v>
      </c>
      <c r="B189" s="3" t="s">
        <v>687</v>
      </c>
      <c r="C189" s="3" t="s">
        <v>688</v>
      </c>
      <c r="D189" s="3" t="s">
        <v>689</v>
      </c>
      <c r="E189" s="2">
        <v>2023</v>
      </c>
      <c r="F189" s="3" t="s">
        <v>22</v>
      </c>
      <c r="G189" s="2" t="s">
        <v>12</v>
      </c>
      <c r="H189" s="3" t="s">
        <v>439</v>
      </c>
      <c r="I189" s="10" t="str">
        <f>HYPERLINK("http://dx.doi.org/10.1007/s11356-023-31175-3","http://dx.doi.org/10.1007/s11356-023-31175-3")</f>
        <v>http://dx.doi.org/10.1007/s11356-023-31175-3</v>
      </c>
    </row>
    <row r="190" spans="1:9" ht="90" x14ac:dyDescent="0.25">
      <c r="A190" s="2">
        <v>187</v>
      </c>
      <c r="B190" s="3" t="s">
        <v>690</v>
      </c>
      <c r="C190" s="3" t="s">
        <v>691</v>
      </c>
      <c r="D190" s="3" t="s">
        <v>692</v>
      </c>
      <c r="E190" s="2">
        <v>2023</v>
      </c>
      <c r="F190" s="3" t="s">
        <v>601</v>
      </c>
      <c r="G190" s="2" t="s">
        <v>12</v>
      </c>
      <c r="H190" s="3" t="s">
        <v>693</v>
      </c>
      <c r="I190" s="10" t="s">
        <v>694</v>
      </c>
    </row>
    <row r="191" spans="1:9" ht="60" x14ac:dyDescent="0.25">
      <c r="A191" s="2">
        <v>188</v>
      </c>
      <c r="B191" s="3" t="s">
        <v>695</v>
      </c>
      <c r="C191" s="3" t="s">
        <v>275</v>
      </c>
      <c r="D191" s="3" t="s">
        <v>696</v>
      </c>
      <c r="E191" s="2">
        <v>2022</v>
      </c>
      <c r="F191" s="3" t="s">
        <v>697</v>
      </c>
      <c r="G191" s="2" t="s">
        <v>12</v>
      </c>
      <c r="H191" s="3" t="s">
        <v>698</v>
      </c>
      <c r="I191" s="10" t="str">
        <f>HYPERLINK("http://dx.doi.org/10.1134/S1070428022030198","http://dx.doi.org/10.1134/S1070428022030198")</f>
        <v>http://dx.doi.org/10.1134/S1070428022030198</v>
      </c>
    </row>
    <row r="192" spans="1:9" ht="90" x14ac:dyDescent="0.25">
      <c r="A192" s="2">
        <v>189</v>
      </c>
      <c r="B192" s="3" t="s">
        <v>699</v>
      </c>
      <c r="C192" s="3" t="s">
        <v>688</v>
      </c>
      <c r="D192" s="3" t="s">
        <v>700</v>
      </c>
      <c r="E192" s="2">
        <v>2022</v>
      </c>
      <c r="F192" s="3" t="s">
        <v>582</v>
      </c>
      <c r="G192" s="2" t="s">
        <v>12</v>
      </c>
      <c r="H192" s="3" t="s">
        <v>587</v>
      </c>
      <c r="I192" s="10" t="str">
        <f>HYPERLINK("http://dx.doi.org/10.47750/pnr.2022.13.S06.287","http://dx.doi.org/10.47750/pnr.2022.13.S06.287")</f>
        <v>http://dx.doi.org/10.47750/pnr.2022.13.S06.287</v>
      </c>
    </row>
    <row r="193" spans="1:9" ht="75" x14ac:dyDescent="0.25">
      <c r="A193" s="2">
        <v>190</v>
      </c>
      <c r="B193" s="3" t="s">
        <v>701</v>
      </c>
      <c r="C193" s="3" t="s">
        <v>702</v>
      </c>
      <c r="D193" s="3" t="s">
        <v>703</v>
      </c>
      <c r="E193" s="2">
        <v>2021</v>
      </c>
      <c r="F193" s="3" t="s">
        <v>704</v>
      </c>
      <c r="G193" s="2" t="s">
        <v>12</v>
      </c>
      <c r="H193" s="3" t="s">
        <v>72</v>
      </c>
      <c r="I193" s="10" t="str">
        <f>HYPERLINK("http://dx.doi.org/10.1109/ICCCI50826.2021.9457005","http://dx.doi.org/10.1109/ICCCI50826.2021.9457005")</f>
        <v>http://dx.doi.org/10.1109/ICCCI50826.2021.9457005</v>
      </c>
    </row>
    <row r="194" spans="1:9" ht="60" x14ac:dyDescent="0.25">
      <c r="A194" s="2">
        <v>191</v>
      </c>
      <c r="B194" s="3" t="s">
        <v>705</v>
      </c>
      <c r="C194" s="3" t="s">
        <v>706</v>
      </c>
      <c r="D194" s="3" t="s">
        <v>707</v>
      </c>
      <c r="E194" s="2">
        <v>2020</v>
      </c>
      <c r="F194" s="3" t="s">
        <v>708</v>
      </c>
      <c r="G194" s="2" t="s">
        <v>12</v>
      </c>
      <c r="H194" s="3" t="s">
        <v>67</v>
      </c>
      <c r="I194" s="10" t="str">
        <f>HYPERLINK("http://dx.doi.org/10.1002/jhet.4026","http://dx.doi.org/10.1002/jhet.4026")</f>
        <v>http://dx.doi.org/10.1002/jhet.4026</v>
      </c>
    </row>
    <row r="195" spans="1:9" ht="45" x14ac:dyDescent="0.25">
      <c r="A195" s="2">
        <v>192</v>
      </c>
      <c r="B195" s="3" t="s">
        <v>709</v>
      </c>
      <c r="C195" s="3" t="s">
        <v>710</v>
      </c>
      <c r="D195" s="3" t="s">
        <v>711</v>
      </c>
      <c r="E195" s="2">
        <v>2020</v>
      </c>
      <c r="F195" s="3" t="s">
        <v>712</v>
      </c>
      <c r="G195" s="2" t="s">
        <v>12</v>
      </c>
      <c r="H195" s="3" t="s">
        <v>72</v>
      </c>
      <c r="I195" s="10" t="str">
        <f>HYPERLINK("http://dx.doi.org/10.1109/icict48043.2020.9112521","http://dx.doi.org/10.1109/icict48043.2020.9112521")</f>
        <v>http://dx.doi.org/10.1109/icict48043.2020.9112521</v>
      </c>
    </row>
    <row r="196" spans="1:9" ht="90" x14ac:dyDescent="0.25">
      <c r="A196" s="2">
        <v>193</v>
      </c>
      <c r="B196" s="3" t="s">
        <v>713</v>
      </c>
      <c r="C196" s="3" t="s">
        <v>60</v>
      </c>
      <c r="D196" s="3" t="s">
        <v>714</v>
      </c>
      <c r="E196" s="2">
        <v>2020</v>
      </c>
      <c r="F196" s="3" t="s">
        <v>625</v>
      </c>
      <c r="G196" s="2" t="s">
        <v>12</v>
      </c>
      <c r="H196" s="3" t="s">
        <v>715</v>
      </c>
      <c r="I196" s="10" t="str">
        <f>HYPERLINK("http://dx.doi.org/10.13005/ojc/360213","http://dx.doi.org/10.13005/ojc/360213")</f>
        <v>http://dx.doi.org/10.13005/ojc/360213</v>
      </c>
    </row>
    <row r="197" spans="1:9" ht="120" x14ac:dyDescent="0.25">
      <c r="A197" s="2">
        <v>194</v>
      </c>
      <c r="B197" s="3" t="s">
        <v>716</v>
      </c>
      <c r="C197" s="3" t="s">
        <v>717</v>
      </c>
      <c r="D197" s="3" t="s">
        <v>718</v>
      </c>
      <c r="E197" s="2">
        <v>2019</v>
      </c>
      <c r="F197" s="3" t="s">
        <v>719</v>
      </c>
      <c r="G197" s="2" t="s">
        <v>12</v>
      </c>
      <c r="H197" s="3" t="s">
        <v>256</v>
      </c>
      <c r="I197" s="10" t="str">
        <f>HYPERLINK("http://dx.doi.org/10.17807/orbital.v11i5.1423","http://dx.doi.org/10.17807/orbital.v11i5.1423")</f>
        <v>http://dx.doi.org/10.17807/orbital.v11i5.1423</v>
      </c>
    </row>
    <row r="198" spans="1:9" ht="90" x14ac:dyDescent="0.25">
      <c r="A198" s="2">
        <v>195</v>
      </c>
      <c r="B198" s="3" t="s">
        <v>720</v>
      </c>
      <c r="C198" s="3" t="s">
        <v>240</v>
      </c>
      <c r="D198" s="3" t="s">
        <v>721</v>
      </c>
      <c r="E198" s="2">
        <v>2018</v>
      </c>
      <c r="F198" s="3" t="s">
        <v>722</v>
      </c>
      <c r="G198" s="2" t="s">
        <v>12</v>
      </c>
      <c r="H198" s="3" t="s">
        <v>23</v>
      </c>
      <c r="I198" s="10" t="str">
        <f>HYPERLINK("http://dx.doi.org/10.1002/celc.201801228","http://dx.doi.org/10.1002/celc.201801228")</f>
        <v>http://dx.doi.org/10.1002/celc.201801228</v>
      </c>
    </row>
    <row r="199" spans="1:9" ht="45" x14ac:dyDescent="0.25">
      <c r="A199" s="2">
        <v>196</v>
      </c>
      <c r="B199" s="3" t="s">
        <v>723</v>
      </c>
      <c r="C199" s="3" t="s">
        <v>724</v>
      </c>
      <c r="D199" s="3" t="s">
        <v>725</v>
      </c>
      <c r="E199" s="2">
        <v>2021</v>
      </c>
      <c r="F199" s="3" t="s">
        <v>342</v>
      </c>
      <c r="G199" s="2" t="s">
        <v>12</v>
      </c>
      <c r="H199" s="3" t="s">
        <v>726</v>
      </c>
      <c r="I199" s="10" t="str">
        <f>HYPERLINK("http://dx.doi.org/10.1007/s40435-021-00757-9","http://dx.doi.org/10.1007/s40435-021-00757-9")</f>
        <v>http://dx.doi.org/10.1007/s40435-021-00757-9</v>
      </c>
    </row>
    <row r="200" spans="1:9" ht="90" x14ac:dyDescent="0.25">
      <c r="A200" s="2">
        <v>197</v>
      </c>
      <c r="B200" s="3" t="s">
        <v>251</v>
      </c>
      <c r="C200" s="3" t="s">
        <v>727</v>
      </c>
      <c r="D200" s="3" t="s">
        <v>728</v>
      </c>
      <c r="E200" s="2">
        <v>2020</v>
      </c>
      <c r="F200" s="3" t="s">
        <v>261</v>
      </c>
      <c r="G200" s="2" t="s">
        <v>12</v>
      </c>
      <c r="H200" s="3" t="s">
        <v>729</v>
      </c>
      <c r="I200" s="10" t="str">
        <f>HYPERLINK("http://dx.doi.org/10.15393/j3.art.2020.7410","http://dx.doi.org/10.15393/j3.art.2020.7410")</f>
        <v>http://dx.doi.org/10.15393/j3.art.2020.7410</v>
      </c>
    </row>
    <row r="201" spans="1:9" ht="60" x14ac:dyDescent="0.25">
      <c r="A201" s="2">
        <v>198</v>
      </c>
      <c r="B201" s="3" t="s">
        <v>730</v>
      </c>
      <c r="C201" s="3" t="s">
        <v>731</v>
      </c>
      <c r="D201" s="3" t="s">
        <v>732</v>
      </c>
      <c r="E201" s="2">
        <v>2019</v>
      </c>
      <c r="F201" s="3" t="s">
        <v>421</v>
      </c>
      <c r="G201" s="2" t="s">
        <v>12</v>
      </c>
      <c r="H201" s="3" t="s">
        <v>91</v>
      </c>
      <c r="I201" s="10" t="str">
        <f>HYPERLINK("http://dx.doi.org/10.1080/24701394.2018.1546299","http://dx.doi.org/10.1080/24701394.2018.1546299")</f>
        <v>http://dx.doi.org/10.1080/24701394.2018.1546299</v>
      </c>
    </row>
    <row r="202" spans="1:9" ht="105" x14ac:dyDescent="0.25">
      <c r="A202" s="2">
        <v>199</v>
      </c>
      <c r="B202" s="3" t="s">
        <v>733</v>
      </c>
      <c r="C202" s="3" t="s">
        <v>734</v>
      </c>
      <c r="D202" s="3" t="s">
        <v>735</v>
      </c>
      <c r="E202" s="2">
        <v>2023</v>
      </c>
      <c r="F202" s="3" t="s">
        <v>22</v>
      </c>
      <c r="G202" s="2" t="s">
        <v>12</v>
      </c>
      <c r="H202" s="3" t="s">
        <v>205</v>
      </c>
      <c r="I202" s="10" t="str">
        <f>HYPERLINK("http://dx.doi.org/10.1080/01932691.2023.2284883","http://dx.doi.org/10.1080/01932691.2023.2284883")</f>
        <v>http://dx.doi.org/10.1080/01932691.2023.2284883</v>
      </c>
    </row>
    <row r="203" spans="1:9" ht="75" x14ac:dyDescent="0.25">
      <c r="A203" s="2">
        <v>200</v>
      </c>
      <c r="B203" s="3" t="s">
        <v>736</v>
      </c>
      <c r="C203" s="3" t="s">
        <v>664</v>
      </c>
      <c r="D203" s="3" t="s">
        <v>737</v>
      </c>
      <c r="E203" s="2">
        <v>2021</v>
      </c>
      <c r="F203" s="3" t="s">
        <v>738</v>
      </c>
      <c r="G203" s="2" t="s">
        <v>12</v>
      </c>
      <c r="H203" s="3" t="s">
        <v>288</v>
      </c>
      <c r="I203" s="10" t="str">
        <f>HYPERLINK("http://dx.doi.org/10.1080/23311975.2021.1962487","http://dx.doi.org/10.1080/23311975.2021.1962487")</f>
        <v>http://dx.doi.org/10.1080/23311975.2021.1962487</v>
      </c>
    </row>
    <row r="204" spans="1:9" ht="60" x14ac:dyDescent="0.25">
      <c r="A204" s="2">
        <v>201</v>
      </c>
      <c r="B204" s="3" t="s">
        <v>730</v>
      </c>
      <c r="C204" s="3" t="s">
        <v>275</v>
      </c>
      <c r="D204" s="3" t="s">
        <v>739</v>
      </c>
      <c r="E204" s="2">
        <v>2020</v>
      </c>
      <c r="F204" s="3" t="s">
        <v>740</v>
      </c>
      <c r="G204" s="2" t="s">
        <v>12</v>
      </c>
      <c r="H204" s="3" t="s">
        <v>91</v>
      </c>
      <c r="I204" s="10" t="str">
        <f>HYPERLINK("http://dx.doi.org/10.1080/24701394.2019.1703964","http://dx.doi.org/10.1080/24701394.2019.1703964")</f>
        <v>http://dx.doi.org/10.1080/24701394.2019.1703964</v>
      </c>
    </row>
    <row r="205" spans="1:9" ht="45" x14ac:dyDescent="0.25">
      <c r="A205" s="2">
        <v>202</v>
      </c>
      <c r="B205" s="3" t="s">
        <v>741</v>
      </c>
      <c r="C205" s="3" t="s">
        <v>742</v>
      </c>
      <c r="D205" s="3" t="s">
        <v>743</v>
      </c>
      <c r="E205" s="2">
        <v>2018</v>
      </c>
      <c r="F205" s="3" t="s">
        <v>744</v>
      </c>
      <c r="G205" s="2" t="s">
        <v>12</v>
      </c>
      <c r="H205" s="3" t="s">
        <v>13</v>
      </c>
      <c r="I205" s="10" t="str">
        <f>HYPERLINK("http://dx.doi.org/10.1007/978-981-10-8636-6_35","http://dx.doi.org/10.1007/978-981-10-8636-6_35")</f>
        <v>http://dx.doi.org/10.1007/978-981-10-8636-6_35</v>
      </c>
    </row>
    <row r="206" spans="1:9" ht="90" x14ac:dyDescent="0.25">
      <c r="A206" s="2">
        <v>203</v>
      </c>
      <c r="B206" s="3" t="s">
        <v>745</v>
      </c>
      <c r="C206" s="3" t="s">
        <v>20</v>
      </c>
      <c r="D206" s="3" t="s">
        <v>746</v>
      </c>
      <c r="E206" s="2">
        <v>2021</v>
      </c>
      <c r="F206" s="3" t="s">
        <v>392</v>
      </c>
      <c r="G206" s="2" t="s">
        <v>12</v>
      </c>
      <c r="H206" s="3" t="s">
        <v>747</v>
      </c>
      <c r="I206" s="10" t="str">
        <f>HYPERLINK("http://dx.doi.org/10.1016/j.heliyon.2021.e08145","http://dx.doi.org/10.1016/j.heliyon.2021.e08145")</f>
        <v>http://dx.doi.org/10.1016/j.heliyon.2021.e08145</v>
      </c>
    </row>
    <row r="207" spans="1:9" ht="60" x14ac:dyDescent="0.25">
      <c r="A207" s="2">
        <v>204</v>
      </c>
      <c r="B207" s="3" t="s">
        <v>748</v>
      </c>
      <c r="C207" s="3" t="s">
        <v>749</v>
      </c>
      <c r="D207" s="3" t="s">
        <v>750</v>
      </c>
      <c r="E207" s="2">
        <v>2021</v>
      </c>
      <c r="F207" s="3" t="s">
        <v>310</v>
      </c>
      <c r="G207" s="2" t="s">
        <v>12</v>
      </c>
      <c r="H207" s="3" t="s">
        <v>356</v>
      </c>
      <c r="I207" s="10" t="str">
        <f>HYPERLINK("http://dx.doi.org/10.1007/s12594-021-1676-4","http://dx.doi.org/10.1007/s12594-021-1676-4")</f>
        <v>http://dx.doi.org/10.1007/s12594-021-1676-4</v>
      </c>
    </row>
    <row r="208" spans="1:9" ht="60" x14ac:dyDescent="0.25">
      <c r="A208" s="2">
        <v>205</v>
      </c>
      <c r="B208" s="3" t="s">
        <v>751</v>
      </c>
      <c r="C208" s="3" t="s">
        <v>752</v>
      </c>
      <c r="D208" s="3" t="s">
        <v>753</v>
      </c>
      <c r="E208" s="2">
        <v>2020</v>
      </c>
      <c r="F208" s="3" t="s">
        <v>754</v>
      </c>
      <c r="G208" s="2" t="s">
        <v>12</v>
      </c>
      <c r="H208" s="3" t="s">
        <v>530</v>
      </c>
      <c r="I208" s="10" t="str">
        <f>HYPERLINK("http://dx.doi.org/10.1515/jisys-2018-0077","http://dx.doi.org/10.1515/jisys-2018-0077")</f>
        <v>http://dx.doi.org/10.1515/jisys-2018-0077</v>
      </c>
    </row>
    <row r="209" spans="1:9" ht="90" x14ac:dyDescent="0.25">
      <c r="A209" s="2">
        <v>206</v>
      </c>
      <c r="B209" s="3" t="s">
        <v>755</v>
      </c>
      <c r="C209" s="3" t="s">
        <v>317</v>
      </c>
      <c r="D209" s="3" t="s">
        <v>756</v>
      </c>
      <c r="E209" s="2">
        <v>2019</v>
      </c>
      <c r="F209" s="3" t="s">
        <v>757</v>
      </c>
      <c r="G209" s="2" t="s">
        <v>12</v>
      </c>
      <c r="H209" s="3" t="s">
        <v>67</v>
      </c>
      <c r="I209" s="10" t="str">
        <f>HYPERLINK("http://dx.doi.org/10.1002/jhet.3628","http://dx.doi.org/10.1002/jhet.3628")</f>
        <v>http://dx.doi.org/10.1002/jhet.3628</v>
      </c>
    </row>
    <row r="210" spans="1:9" ht="120" x14ac:dyDescent="0.25">
      <c r="A210" s="2">
        <v>207</v>
      </c>
      <c r="B210" s="3" t="s">
        <v>758</v>
      </c>
      <c r="C210" s="3" t="s">
        <v>717</v>
      </c>
      <c r="D210" s="3" t="s">
        <v>759</v>
      </c>
      <c r="E210" s="2">
        <v>2018</v>
      </c>
      <c r="F210" s="3" t="s">
        <v>659</v>
      </c>
      <c r="G210" s="2" t="s">
        <v>12</v>
      </c>
      <c r="H210" s="3" t="s">
        <v>760</v>
      </c>
      <c r="I210" s="14" t="s">
        <v>761</v>
      </c>
    </row>
    <row r="211" spans="1:9" ht="45" x14ac:dyDescent="0.25">
      <c r="A211" s="2">
        <v>208</v>
      </c>
      <c r="B211" s="3" t="s">
        <v>762</v>
      </c>
      <c r="C211" s="3" t="s">
        <v>183</v>
      </c>
      <c r="D211" s="3" t="s">
        <v>763</v>
      </c>
      <c r="E211" s="2">
        <v>2022</v>
      </c>
      <c r="F211" s="3" t="s">
        <v>764</v>
      </c>
      <c r="G211" s="2" t="s">
        <v>12</v>
      </c>
      <c r="H211" s="3" t="s">
        <v>18</v>
      </c>
      <c r="I211" s="10" t="str">
        <f>HYPERLINK("http://dx.doi.org/10.1007/978-981-16-2877-1_31","http://dx.doi.org/10.1007/978-981-16-2877-1_31")</f>
        <v>http://dx.doi.org/10.1007/978-981-16-2877-1_31</v>
      </c>
    </row>
    <row r="212" spans="1:9" ht="90" x14ac:dyDescent="0.25">
      <c r="A212" s="2">
        <v>209</v>
      </c>
      <c r="B212" s="3" t="s">
        <v>765</v>
      </c>
      <c r="C212" s="3" t="s">
        <v>766</v>
      </c>
      <c r="D212" s="3" t="s">
        <v>767</v>
      </c>
      <c r="E212" s="2">
        <v>2021</v>
      </c>
      <c r="F212" s="3" t="s">
        <v>261</v>
      </c>
      <c r="G212" s="2" t="s">
        <v>12</v>
      </c>
      <c r="H212" s="3" t="s">
        <v>256</v>
      </c>
      <c r="I212" s="10" t="str">
        <f>HYPERLINK("http://dx.doi.org/10.17807/orbital.v13i1.1517","http://dx.doi.org/10.17807/orbital.v13i1.1517")</f>
        <v>http://dx.doi.org/10.17807/orbital.v13i1.1517</v>
      </c>
    </row>
    <row r="213" spans="1:9" ht="60" x14ac:dyDescent="0.25">
      <c r="A213" s="2">
        <v>210</v>
      </c>
      <c r="B213" s="3" t="s">
        <v>768</v>
      </c>
      <c r="C213" s="3" t="s">
        <v>680</v>
      </c>
      <c r="D213" s="3" t="s">
        <v>769</v>
      </c>
      <c r="E213" s="2">
        <v>2020</v>
      </c>
      <c r="F213" s="3" t="s">
        <v>770</v>
      </c>
      <c r="G213" s="2" t="s">
        <v>12</v>
      </c>
      <c r="H213" s="3" t="s">
        <v>18</v>
      </c>
      <c r="I213" s="10" t="str">
        <f>HYPERLINK("http://dx.doi.org/10.1007/s11696-019-00978-5","http://dx.doi.org/10.1007/s11696-019-00978-5")</f>
        <v>http://dx.doi.org/10.1007/s11696-019-00978-5</v>
      </c>
    </row>
    <row r="214" spans="1:9" ht="75" x14ac:dyDescent="0.25">
      <c r="A214" s="2">
        <v>211</v>
      </c>
      <c r="B214" s="3" t="s">
        <v>771</v>
      </c>
      <c r="C214" s="3" t="s">
        <v>580</v>
      </c>
      <c r="D214" s="3" t="s">
        <v>772</v>
      </c>
      <c r="E214" s="2">
        <v>2019</v>
      </c>
      <c r="F214" s="3" t="s">
        <v>545</v>
      </c>
      <c r="G214" s="2" t="s">
        <v>12</v>
      </c>
      <c r="H214" s="3" t="s">
        <v>773</v>
      </c>
      <c r="I214" s="10" t="str">
        <f>HYPERLINK("http://dx.doi.org/10.25135/acg.oc.54.19.02.1212","http://dx.doi.org/10.25135/acg.oc.54.19.02.1212")</f>
        <v>http://dx.doi.org/10.25135/acg.oc.54.19.02.1212</v>
      </c>
    </row>
    <row r="215" spans="1:9" ht="60" x14ac:dyDescent="0.25">
      <c r="A215" s="2">
        <v>212</v>
      </c>
      <c r="B215" s="3" t="s">
        <v>774</v>
      </c>
      <c r="C215" s="3" t="s">
        <v>775</v>
      </c>
      <c r="D215" s="3" t="s">
        <v>776</v>
      </c>
      <c r="E215" s="2">
        <v>2018</v>
      </c>
      <c r="F215" s="3" t="s">
        <v>22</v>
      </c>
      <c r="G215" s="2" t="s">
        <v>12</v>
      </c>
      <c r="H215" s="3" t="s">
        <v>525</v>
      </c>
      <c r="I215" s="10" t="str">
        <f>HYPERLINK("http://dx.doi.org/10.1063/1.5058243","http://dx.doi.org/10.1063/1.5058243")</f>
        <v>http://dx.doi.org/10.1063/1.5058243</v>
      </c>
    </row>
    <row r="216" spans="1:9" ht="75" x14ac:dyDescent="0.25">
      <c r="A216" s="2">
        <v>213</v>
      </c>
      <c r="B216" s="3" t="s">
        <v>577</v>
      </c>
      <c r="C216" s="3" t="s">
        <v>777</v>
      </c>
      <c r="D216" s="3" t="s">
        <v>778</v>
      </c>
      <c r="E216" s="2">
        <v>2023</v>
      </c>
      <c r="F216" s="3" t="s">
        <v>779</v>
      </c>
      <c r="G216" s="2" t="s">
        <v>12</v>
      </c>
      <c r="H216" s="3" t="s">
        <v>91</v>
      </c>
      <c r="I216" s="10" t="str">
        <f>HYPERLINK("http://dx.doi.org/10.1080/10837450.2023.2282649","http://dx.doi.org/10.1080/10837450.2023.2282649")</f>
        <v>http://dx.doi.org/10.1080/10837450.2023.2282649</v>
      </c>
    </row>
    <row r="217" spans="1:9" ht="75" x14ac:dyDescent="0.25">
      <c r="A217" s="2">
        <v>214</v>
      </c>
      <c r="B217" s="3" t="s">
        <v>780</v>
      </c>
      <c r="C217" s="3" t="s">
        <v>781</v>
      </c>
      <c r="D217" s="3" t="s">
        <v>782</v>
      </c>
      <c r="E217" s="2">
        <v>2021</v>
      </c>
      <c r="F217" s="3" t="s">
        <v>744</v>
      </c>
      <c r="G217" s="2" t="s">
        <v>12</v>
      </c>
      <c r="H217" s="3" t="s">
        <v>783</v>
      </c>
      <c r="I217" s="10" t="str">
        <f>HYPERLINK("http://dx.doi.org/10.14456/jmmm.2021.46","http://dx.doi.org/10.14456/jmmm.2021.46")</f>
        <v>http://dx.doi.org/10.14456/jmmm.2021.46</v>
      </c>
    </row>
    <row r="218" spans="1:9" ht="60" x14ac:dyDescent="0.25">
      <c r="A218" s="2">
        <v>215</v>
      </c>
      <c r="B218" s="3" t="s">
        <v>784</v>
      </c>
      <c r="C218" s="3" t="s">
        <v>56</v>
      </c>
      <c r="D218" s="3" t="s">
        <v>785</v>
      </c>
      <c r="E218" s="2">
        <v>2020</v>
      </c>
      <c r="F218" s="3" t="s">
        <v>786</v>
      </c>
      <c r="G218" s="2" t="s">
        <v>12</v>
      </c>
      <c r="H218" s="3" t="s">
        <v>72</v>
      </c>
      <c r="I218" s="10" t="str">
        <f>HYPERLINK("http://dx.doi.org/10.1109/icict48043.2020.9112493","http://dx.doi.org/10.1109/icict48043.2020.9112493")</f>
        <v>http://dx.doi.org/10.1109/icict48043.2020.9112493</v>
      </c>
    </row>
    <row r="219" spans="1:9" ht="60" x14ac:dyDescent="0.25">
      <c r="A219" s="2">
        <v>216</v>
      </c>
      <c r="B219" s="3" t="s">
        <v>787</v>
      </c>
      <c r="C219" s="3" t="s">
        <v>461</v>
      </c>
      <c r="D219" s="3" t="s">
        <v>788</v>
      </c>
      <c r="E219" s="2">
        <v>2023</v>
      </c>
      <c r="F219" s="3" t="s">
        <v>789</v>
      </c>
      <c r="G219" s="2" t="s">
        <v>12</v>
      </c>
      <c r="H219" s="3" t="s">
        <v>288</v>
      </c>
      <c r="I219" s="10" t="str">
        <f>HYPERLINK("http://dx.doi.org/10.1080/23311975.2023.2174242","http://dx.doi.org/10.1080/23311975.2023.2174242")</f>
        <v>http://dx.doi.org/10.1080/23311975.2023.2174242</v>
      </c>
    </row>
    <row r="220" spans="1:9" ht="90" x14ac:dyDescent="0.25">
      <c r="A220" s="2">
        <v>217</v>
      </c>
      <c r="B220" s="3" t="s">
        <v>577</v>
      </c>
      <c r="C220" s="3" t="s">
        <v>20</v>
      </c>
      <c r="D220" s="3" t="s">
        <v>790</v>
      </c>
      <c r="E220" s="2">
        <v>2023</v>
      </c>
      <c r="F220" s="3" t="s">
        <v>791</v>
      </c>
      <c r="G220" s="2" t="s">
        <v>12</v>
      </c>
      <c r="H220" s="3" t="s">
        <v>277</v>
      </c>
      <c r="I220" s="10" t="str">
        <f>HYPERLINK("http://dx.doi.org/10.1016/j.ijpharm.2023.123210","http://dx.doi.org/10.1016/j.ijpharm.2023.123210")</f>
        <v>http://dx.doi.org/10.1016/j.ijpharm.2023.123210</v>
      </c>
    </row>
    <row r="221" spans="1:9" ht="75" x14ac:dyDescent="0.25">
      <c r="A221" s="2">
        <v>218</v>
      </c>
      <c r="B221" s="3" t="s">
        <v>792</v>
      </c>
      <c r="C221" s="3" t="s">
        <v>793</v>
      </c>
      <c r="D221" s="3" t="s">
        <v>794</v>
      </c>
      <c r="E221" s="2">
        <v>2023</v>
      </c>
      <c r="F221" s="3" t="s">
        <v>605</v>
      </c>
      <c r="G221" s="2" t="s">
        <v>12</v>
      </c>
      <c r="H221" s="3" t="s">
        <v>23</v>
      </c>
      <c r="I221" s="10" t="str">
        <f>HYPERLINK("http://dx.doi.org/10.1002/slct.202204328","http://dx.doi.org/10.1002/slct.202204328")</f>
        <v>http://dx.doi.org/10.1002/slct.202204328</v>
      </c>
    </row>
    <row r="222" spans="1:9" ht="90" x14ac:dyDescent="0.25">
      <c r="A222" s="2">
        <v>219</v>
      </c>
      <c r="B222" s="3" t="s">
        <v>795</v>
      </c>
      <c r="C222" s="3" t="s">
        <v>796</v>
      </c>
      <c r="D222" s="3" t="s">
        <v>797</v>
      </c>
      <c r="E222" s="2">
        <v>2023</v>
      </c>
      <c r="F222" s="3" t="s">
        <v>798</v>
      </c>
      <c r="G222" s="2" t="s">
        <v>12</v>
      </c>
      <c r="H222" s="3" t="s">
        <v>799</v>
      </c>
      <c r="I222" s="10" t="str">
        <f>HYPERLINK("http://dx.doi.org/10.3390/heritage6070283","http://dx.doi.org/10.3390/heritage6070283")</f>
        <v>http://dx.doi.org/10.3390/heritage6070283</v>
      </c>
    </row>
    <row r="223" spans="1:9" ht="45" x14ac:dyDescent="0.25">
      <c r="A223" s="2">
        <v>220</v>
      </c>
      <c r="B223" s="3" t="s">
        <v>800</v>
      </c>
      <c r="C223" s="3" t="s">
        <v>801</v>
      </c>
      <c r="D223" s="3" t="s">
        <v>802</v>
      </c>
      <c r="E223" s="2">
        <v>2022</v>
      </c>
      <c r="F223" s="3" t="s">
        <v>803</v>
      </c>
      <c r="G223" s="2" t="s">
        <v>12</v>
      </c>
      <c r="H223" s="3" t="s">
        <v>464</v>
      </c>
      <c r="I223" s="10" t="str">
        <f>HYPERLINK("http://dx.doi.org/10.2478/ausm-2022-0018","http://dx.doi.org/10.2478/ausm-2022-0018")</f>
        <v>http://dx.doi.org/10.2478/ausm-2022-0018</v>
      </c>
    </row>
    <row r="224" spans="1:9" ht="90" x14ac:dyDescent="0.25">
      <c r="A224" s="2">
        <v>221</v>
      </c>
      <c r="B224" s="3" t="s">
        <v>804</v>
      </c>
      <c r="C224" s="3" t="s">
        <v>805</v>
      </c>
      <c r="D224" s="3" t="s">
        <v>806</v>
      </c>
      <c r="E224" s="2">
        <v>2021</v>
      </c>
      <c r="F224" s="3" t="s">
        <v>414</v>
      </c>
      <c r="G224" s="2" t="s">
        <v>12</v>
      </c>
      <c r="H224" s="3" t="s">
        <v>23</v>
      </c>
      <c r="I224" s="10" t="str">
        <f>HYPERLINK("http://dx.doi.org/10.1002/jccs.202000174","http://dx.doi.org/10.1002/jccs.202000174")</f>
        <v>http://dx.doi.org/10.1002/jccs.202000174</v>
      </c>
    </row>
    <row r="225" spans="1:9" ht="90" x14ac:dyDescent="0.25">
      <c r="A225" s="2">
        <v>222</v>
      </c>
      <c r="B225" s="3" t="s">
        <v>807</v>
      </c>
      <c r="C225" s="3" t="s">
        <v>808</v>
      </c>
      <c r="D225" s="3" t="s">
        <v>809</v>
      </c>
      <c r="E225" s="2">
        <v>2020</v>
      </c>
      <c r="F225" s="3" t="s">
        <v>594</v>
      </c>
      <c r="G225" s="2" t="s">
        <v>12</v>
      </c>
      <c r="H225" s="3" t="s">
        <v>277</v>
      </c>
      <c r="I225" s="10" t="s">
        <v>810</v>
      </c>
    </row>
    <row r="226" spans="1:9" ht="105" x14ac:dyDescent="0.25">
      <c r="A226" s="2">
        <v>223</v>
      </c>
      <c r="B226" s="3" t="s">
        <v>811</v>
      </c>
      <c r="C226" s="3" t="s">
        <v>153</v>
      </c>
      <c r="D226" s="3" t="s">
        <v>812</v>
      </c>
      <c r="E226" s="2">
        <v>2019</v>
      </c>
      <c r="F226" s="3" t="s">
        <v>813</v>
      </c>
      <c r="G226" s="2" t="s">
        <v>12</v>
      </c>
      <c r="H226" s="3" t="s">
        <v>48</v>
      </c>
      <c r="I226" s="10" t="str">
        <f>HYPERLINK("http://dx.doi.org/10.1007/s13738-019-01633-2","http://dx.doi.org/10.1007/s13738-019-01633-2")</f>
        <v>http://dx.doi.org/10.1007/s13738-019-01633-2</v>
      </c>
    </row>
    <row r="227" spans="1:9" ht="60" x14ac:dyDescent="0.25">
      <c r="A227" s="2">
        <v>224</v>
      </c>
      <c r="B227" s="3" t="s">
        <v>814</v>
      </c>
      <c r="C227" s="3" t="s">
        <v>815</v>
      </c>
      <c r="D227" s="3" t="s">
        <v>816</v>
      </c>
      <c r="E227" s="2">
        <v>2019</v>
      </c>
      <c r="F227" s="3" t="s">
        <v>261</v>
      </c>
      <c r="G227" s="2" t="s">
        <v>12</v>
      </c>
      <c r="H227" s="3" t="s">
        <v>18</v>
      </c>
      <c r="I227" s="10" t="str">
        <f>HYPERLINK("http://dx.doi.org/10.1007/978-981-13-1747-7_48","http://dx.doi.org/10.1007/978-981-13-1747-7_48")</f>
        <v>http://dx.doi.org/10.1007/978-981-13-1747-7_48</v>
      </c>
    </row>
    <row r="228" spans="1:9" ht="90" x14ac:dyDescent="0.25">
      <c r="A228" s="2">
        <v>225</v>
      </c>
      <c r="B228" s="3" t="s">
        <v>682</v>
      </c>
      <c r="C228" s="3" t="s">
        <v>817</v>
      </c>
      <c r="D228" s="3" t="s">
        <v>818</v>
      </c>
      <c r="E228" s="2">
        <v>2019</v>
      </c>
      <c r="F228" s="3" t="s">
        <v>559</v>
      </c>
      <c r="G228" s="2" t="s">
        <v>12</v>
      </c>
      <c r="H228" s="3" t="s">
        <v>18</v>
      </c>
      <c r="I228" s="10" t="str">
        <f>HYPERLINK("http://dx.doi.org/10.1007/978-981-10-8055-5_38","http://dx.doi.org/10.1007/978-981-10-8055-5_38")</f>
        <v>http://dx.doi.org/10.1007/978-981-10-8055-5_38</v>
      </c>
    </row>
    <row r="229" spans="1:9" ht="60" x14ac:dyDescent="0.25">
      <c r="A229" s="2">
        <v>226</v>
      </c>
      <c r="B229" s="3" t="s">
        <v>819</v>
      </c>
      <c r="C229" s="3" t="s">
        <v>820</v>
      </c>
      <c r="D229" s="3" t="s">
        <v>821</v>
      </c>
      <c r="E229" s="2">
        <v>2023</v>
      </c>
      <c r="F229" s="3" t="s">
        <v>822</v>
      </c>
      <c r="G229" s="2" t="s">
        <v>12</v>
      </c>
      <c r="H229" s="3" t="s">
        <v>48</v>
      </c>
      <c r="I229" s="10" t="str">
        <f>HYPERLINK("http://dx.doi.org/10.1007/s10660-023-09782-6","http://dx.doi.org/10.1007/s10660-023-09782-6")</f>
        <v>http://dx.doi.org/10.1007/s10660-023-09782-6</v>
      </c>
    </row>
    <row r="230" spans="1:9" ht="60" x14ac:dyDescent="0.25">
      <c r="A230" s="2">
        <v>227</v>
      </c>
      <c r="B230" s="3" t="s">
        <v>723</v>
      </c>
      <c r="C230" s="3" t="s">
        <v>823</v>
      </c>
      <c r="D230" s="3" t="s">
        <v>824</v>
      </c>
      <c r="E230" s="2">
        <v>2022</v>
      </c>
      <c r="F230" s="3" t="s">
        <v>825</v>
      </c>
      <c r="G230" s="2" t="s">
        <v>12</v>
      </c>
      <c r="H230" s="3" t="s">
        <v>726</v>
      </c>
      <c r="I230" s="10" t="str">
        <f>HYPERLINK("http://dx.doi.org/10.1007/s40435-021-00817-0","http://dx.doi.org/10.1007/s40435-021-00817-0")</f>
        <v>http://dx.doi.org/10.1007/s40435-021-00817-0</v>
      </c>
    </row>
    <row r="231" spans="1:9" ht="45" x14ac:dyDescent="0.25">
      <c r="A231" s="2">
        <v>228</v>
      </c>
      <c r="B231" s="3" t="s">
        <v>826</v>
      </c>
      <c r="C231" s="3" t="s">
        <v>827</v>
      </c>
      <c r="D231" s="3" t="s">
        <v>828</v>
      </c>
      <c r="E231" s="2">
        <v>2021</v>
      </c>
      <c r="F231" s="3" t="s">
        <v>22</v>
      </c>
      <c r="G231" s="2" t="s">
        <v>12</v>
      </c>
      <c r="H231" s="3" t="s">
        <v>72</v>
      </c>
      <c r="I231" s="10" t="str">
        <f>HYPERLINK("http://dx.doi.org/10.1109/I2CT51068.2021.9418164","http://dx.doi.org/10.1109/I2CT51068.2021.9418164")</f>
        <v>http://dx.doi.org/10.1109/I2CT51068.2021.9418164</v>
      </c>
    </row>
    <row r="232" spans="1:9" ht="105" x14ac:dyDescent="0.25">
      <c r="A232" s="2">
        <v>229</v>
      </c>
      <c r="B232" s="3" t="s">
        <v>829</v>
      </c>
      <c r="C232" s="3" t="s">
        <v>724</v>
      </c>
      <c r="D232" s="3" t="s">
        <v>830</v>
      </c>
      <c r="E232" s="2">
        <v>2019</v>
      </c>
      <c r="F232" s="3" t="s">
        <v>831</v>
      </c>
      <c r="G232" s="2" t="s">
        <v>12</v>
      </c>
      <c r="H232" s="3" t="s">
        <v>832</v>
      </c>
      <c r="I232" s="12" t="s">
        <v>3204</v>
      </c>
    </row>
    <row r="233" spans="1:9" ht="90" x14ac:dyDescent="0.25">
      <c r="A233" s="2">
        <v>230</v>
      </c>
      <c r="B233" s="3" t="s">
        <v>833</v>
      </c>
      <c r="C233" s="3" t="s">
        <v>603</v>
      </c>
      <c r="D233" s="3" t="s">
        <v>834</v>
      </c>
      <c r="E233" s="2">
        <v>2019</v>
      </c>
      <c r="F233" s="3" t="s">
        <v>379</v>
      </c>
      <c r="G233" s="2" t="s">
        <v>12</v>
      </c>
      <c r="H233" s="3" t="s">
        <v>13</v>
      </c>
      <c r="I233" s="10" t="str">
        <f>HYPERLINK("http://dx.doi.org/10.1007/978-981-10-8639-7_21","http://dx.doi.org/10.1007/978-981-10-8639-7_21")</f>
        <v>http://dx.doi.org/10.1007/978-981-10-8639-7_21</v>
      </c>
    </row>
    <row r="234" spans="1:9" ht="60" x14ac:dyDescent="0.25">
      <c r="A234" s="2">
        <v>231</v>
      </c>
      <c r="B234" s="3" t="s">
        <v>835</v>
      </c>
      <c r="C234" s="3" t="s">
        <v>20</v>
      </c>
      <c r="D234" s="3" t="s">
        <v>836</v>
      </c>
      <c r="E234" s="2">
        <v>2023</v>
      </c>
      <c r="F234" s="3" t="s">
        <v>837</v>
      </c>
      <c r="G234" s="2" t="s">
        <v>12</v>
      </c>
      <c r="H234" s="3" t="s">
        <v>91</v>
      </c>
      <c r="I234" s="10" t="str">
        <f>HYPERLINK("http://dx.doi.org/10.1080/21681163.2022.2124545","http://dx.doi.org/10.1080/21681163.2022.2124545")</f>
        <v>http://dx.doi.org/10.1080/21681163.2022.2124545</v>
      </c>
    </row>
    <row r="235" spans="1:9" ht="75" x14ac:dyDescent="0.25">
      <c r="A235" s="2">
        <v>232</v>
      </c>
      <c r="B235" s="3" t="s">
        <v>838</v>
      </c>
      <c r="C235" s="3" t="s">
        <v>839</v>
      </c>
      <c r="D235" s="3" t="s">
        <v>840</v>
      </c>
      <c r="E235" s="2">
        <v>2022</v>
      </c>
      <c r="F235" s="3" t="s">
        <v>841</v>
      </c>
      <c r="G235" s="2" t="s">
        <v>12</v>
      </c>
      <c r="H235" s="3" t="s">
        <v>395</v>
      </c>
      <c r="I235" s="10" t="str">
        <f>HYPERLINK("http://dx.doi.org/10.22937/IJCSNS.2022.22.1.78","http://dx.doi.org/10.22937/IJCSNS.2022.22.1.78")</f>
        <v>http://dx.doi.org/10.22937/IJCSNS.2022.22.1.78</v>
      </c>
    </row>
    <row r="236" spans="1:9" ht="105" x14ac:dyDescent="0.25">
      <c r="A236" s="2">
        <v>233</v>
      </c>
      <c r="B236" s="3" t="s">
        <v>842</v>
      </c>
      <c r="C236" s="3" t="s">
        <v>843</v>
      </c>
      <c r="D236" s="3" t="s">
        <v>844</v>
      </c>
      <c r="E236" s="2">
        <v>2021</v>
      </c>
      <c r="F236" s="3" t="s">
        <v>708</v>
      </c>
      <c r="G236" s="2" t="s">
        <v>12</v>
      </c>
      <c r="H236" s="3" t="s">
        <v>58</v>
      </c>
      <c r="I236" s="10" t="str">
        <f>HYPERLINK("http://dx.doi.org/10.1039/d0ra09811f","http://dx.doi.org/10.1039/d0ra09811f")</f>
        <v>http://dx.doi.org/10.1039/d0ra09811f</v>
      </c>
    </row>
    <row r="237" spans="1:9" ht="60" x14ac:dyDescent="0.25">
      <c r="A237" s="2">
        <v>234</v>
      </c>
      <c r="B237" s="3" t="s">
        <v>845</v>
      </c>
      <c r="C237" s="3" t="s">
        <v>805</v>
      </c>
      <c r="D237" s="3" t="s">
        <v>846</v>
      </c>
      <c r="E237" s="2">
        <v>2020</v>
      </c>
      <c r="F237" s="3" t="s">
        <v>847</v>
      </c>
      <c r="G237" s="2" t="s">
        <v>12</v>
      </c>
      <c r="H237" s="3" t="s">
        <v>485</v>
      </c>
      <c r="I237" s="10" t="str">
        <f>HYPERLINK("http://dx.doi.org/10.5530/ijper.54.2s.90","http://dx.doi.org/10.5530/ijper.54.2s.90")</f>
        <v>http://dx.doi.org/10.5530/ijper.54.2s.90</v>
      </c>
    </row>
    <row r="238" spans="1:9" ht="90" x14ac:dyDescent="0.25">
      <c r="A238" s="2">
        <v>235</v>
      </c>
      <c r="B238" s="3" t="s">
        <v>848</v>
      </c>
      <c r="C238" s="3" t="s">
        <v>849</v>
      </c>
      <c r="D238" s="3" t="s">
        <v>850</v>
      </c>
      <c r="E238" s="2">
        <v>2019</v>
      </c>
      <c r="F238" s="3" t="s">
        <v>831</v>
      </c>
      <c r="G238" s="2" t="s">
        <v>12</v>
      </c>
      <c r="H238" s="3" t="s">
        <v>23</v>
      </c>
      <c r="I238" s="10" t="str">
        <f>HYPERLINK("http://dx.doi.org/10.1002/slct.201902030","http://dx.doi.org/10.1002/slct.201902030")</f>
        <v>http://dx.doi.org/10.1002/slct.201902030</v>
      </c>
    </row>
    <row r="239" spans="1:9" ht="45" x14ac:dyDescent="0.25">
      <c r="A239" s="2">
        <v>236</v>
      </c>
      <c r="B239" s="3" t="s">
        <v>851</v>
      </c>
      <c r="C239" s="3" t="s">
        <v>852</v>
      </c>
      <c r="D239" s="3" t="s">
        <v>853</v>
      </c>
      <c r="E239" s="2">
        <v>2019</v>
      </c>
      <c r="F239" s="3" t="s">
        <v>414</v>
      </c>
      <c r="G239" s="2" t="s">
        <v>12</v>
      </c>
      <c r="H239" s="3" t="s">
        <v>72</v>
      </c>
      <c r="I239" s="10" t="str">
        <f>HYPERLINK("http://dx.doi.org/10.1109/punecon46936.2019.9105893","http://dx.doi.org/10.1109/punecon46936.2019.9105893")</f>
        <v>http://dx.doi.org/10.1109/punecon46936.2019.9105893</v>
      </c>
    </row>
    <row r="240" spans="1:9" ht="45" x14ac:dyDescent="0.25">
      <c r="A240" s="2">
        <v>237</v>
      </c>
      <c r="B240" s="3" t="s">
        <v>854</v>
      </c>
      <c r="C240" s="3" t="s">
        <v>855</v>
      </c>
      <c r="D240" s="3" t="s">
        <v>856</v>
      </c>
      <c r="E240" s="2">
        <v>2018</v>
      </c>
      <c r="F240" s="3" t="s">
        <v>618</v>
      </c>
      <c r="G240" s="2" t="s">
        <v>12</v>
      </c>
      <c r="H240" s="3" t="s">
        <v>857</v>
      </c>
      <c r="I240" s="12" t="s">
        <v>3204</v>
      </c>
    </row>
    <row r="241" spans="1:9" ht="60" x14ac:dyDescent="0.25">
      <c r="A241" s="2">
        <v>238</v>
      </c>
      <c r="B241" s="3" t="s">
        <v>858</v>
      </c>
      <c r="C241" s="3" t="s">
        <v>655</v>
      </c>
      <c r="D241" s="3" t="s">
        <v>859</v>
      </c>
      <c r="E241" s="2">
        <v>2022</v>
      </c>
      <c r="F241" s="3" t="s">
        <v>860</v>
      </c>
      <c r="G241" s="2" t="s">
        <v>12</v>
      </c>
      <c r="H241" s="3" t="s">
        <v>583</v>
      </c>
      <c r="I241" s="10" t="str">
        <f>HYPERLINK("http://dx.doi.org/10.1155/2022/9092299","http://dx.doi.org/10.1155/2022/9092299")</f>
        <v>http://dx.doi.org/10.1155/2022/9092299</v>
      </c>
    </row>
    <row r="242" spans="1:9" ht="75" x14ac:dyDescent="0.25">
      <c r="A242" s="2">
        <v>239</v>
      </c>
      <c r="B242" s="3" t="s">
        <v>861</v>
      </c>
      <c r="C242" s="3" t="s">
        <v>862</v>
      </c>
      <c r="D242" s="3" t="s">
        <v>863</v>
      </c>
      <c r="E242" s="2">
        <v>2022</v>
      </c>
      <c r="F242" s="3" t="s">
        <v>261</v>
      </c>
      <c r="G242" s="2" t="s">
        <v>12</v>
      </c>
      <c r="H242" s="3" t="s">
        <v>48</v>
      </c>
      <c r="I242" s="10" t="str">
        <f>HYPERLINK("http://dx.doi.org/10.1007/s11042-021-11786-z","http://dx.doi.org/10.1007/s11042-021-11786-z")</f>
        <v>http://dx.doi.org/10.1007/s11042-021-11786-z</v>
      </c>
    </row>
    <row r="243" spans="1:9" ht="75" x14ac:dyDescent="0.25">
      <c r="A243" s="2">
        <v>240</v>
      </c>
      <c r="B243" s="3" t="s">
        <v>440</v>
      </c>
      <c r="C243" s="3" t="s">
        <v>864</v>
      </c>
      <c r="D243" s="3" t="s">
        <v>865</v>
      </c>
      <c r="E243" s="2">
        <v>2021</v>
      </c>
      <c r="F243" s="3" t="s">
        <v>866</v>
      </c>
      <c r="G243" s="2" t="s">
        <v>12</v>
      </c>
      <c r="H243" s="3" t="s">
        <v>48</v>
      </c>
      <c r="I243" s="10" t="str">
        <f>HYPERLINK("http://dx.doi.org/10.1208/s12249-021-02100-z","http://dx.doi.org/10.1208/s12249-021-02100-z")</f>
        <v>http://dx.doi.org/10.1208/s12249-021-02100-z</v>
      </c>
    </row>
    <row r="244" spans="1:9" ht="75" x14ac:dyDescent="0.25">
      <c r="A244" s="2">
        <v>241</v>
      </c>
      <c r="B244" s="3" t="s">
        <v>800</v>
      </c>
      <c r="C244" s="3" t="s">
        <v>450</v>
      </c>
      <c r="D244" s="3" t="s">
        <v>867</v>
      </c>
      <c r="E244" s="2">
        <v>2021</v>
      </c>
      <c r="F244" s="3" t="s">
        <v>704</v>
      </c>
      <c r="G244" s="2" t="s">
        <v>12</v>
      </c>
      <c r="H244" s="3" t="s">
        <v>160</v>
      </c>
      <c r="I244" s="10" t="str">
        <f>HYPERLINK("http://dx.doi.org/10.12941/jksiam.2021.25.039","http://dx.doi.org/10.12941/jksiam.2021.25.039")</f>
        <v>http://dx.doi.org/10.12941/jksiam.2021.25.039</v>
      </c>
    </row>
    <row r="245" spans="1:9" ht="75" x14ac:dyDescent="0.25">
      <c r="A245" s="2">
        <v>242</v>
      </c>
      <c r="B245" s="3" t="s">
        <v>800</v>
      </c>
      <c r="C245" s="3" t="s">
        <v>868</v>
      </c>
      <c r="D245" s="3" t="s">
        <v>869</v>
      </c>
      <c r="E245" s="2">
        <v>2021</v>
      </c>
      <c r="F245" s="3" t="s">
        <v>870</v>
      </c>
      <c r="G245" s="2" t="s">
        <v>12</v>
      </c>
      <c r="H245" s="3" t="s">
        <v>871</v>
      </c>
      <c r="I245" s="10" t="str">
        <f>HYPERLINK("http://dx.doi.org/10.2298/FIL2109973N","http://dx.doi.org/10.2298/FIL2109973N")</f>
        <v>http://dx.doi.org/10.2298/FIL2109973N</v>
      </c>
    </row>
    <row r="246" spans="1:9" ht="120" x14ac:dyDescent="0.25">
      <c r="A246" s="2">
        <v>243</v>
      </c>
      <c r="B246" s="3" t="s">
        <v>699</v>
      </c>
      <c r="C246" s="3" t="s">
        <v>56</v>
      </c>
      <c r="D246" s="3" t="s">
        <v>872</v>
      </c>
      <c r="E246" s="2">
        <v>2022</v>
      </c>
      <c r="F246" s="3" t="s">
        <v>873</v>
      </c>
      <c r="G246" s="2" t="s">
        <v>12</v>
      </c>
      <c r="H246" s="3" t="s">
        <v>277</v>
      </c>
      <c r="I246" s="10" t="str">
        <f>HYPERLINK("http://dx.doi.org/10.1016/j.molstruc.2022.133833","http://dx.doi.org/10.1016/j.molstruc.2022.133833")</f>
        <v>http://dx.doi.org/10.1016/j.molstruc.2022.133833</v>
      </c>
    </row>
    <row r="247" spans="1:9" ht="75" x14ac:dyDescent="0.25">
      <c r="A247" s="2">
        <v>244</v>
      </c>
      <c r="B247" s="3" t="s">
        <v>874</v>
      </c>
      <c r="C247" s="3" t="s">
        <v>81</v>
      </c>
      <c r="D247" s="3" t="s">
        <v>875</v>
      </c>
      <c r="E247" s="2">
        <v>2021</v>
      </c>
      <c r="F247" s="3" t="s">
        <v>586</v>
      </c>
      <c r="G247" s="2" t="s">
        <v>12</v>
      </c>
      <c r="H247" s="3" t="s">
        <v>91</v>
      </c>
      <c r="I247" s="10" t="str">
        <f>HYPERLINK("http://dx.doi.org/10.1080/00150193.2021.1890463","http://dx.doi.org/10.1080/00150193.2021.1890463")</f>
        <v>http://dx.doi.org/10.1080/00150193.2021.1890463</v>
      </c>
    </row>
    <row r="248" spans="1:9" ht="75" x14ac:dyDescent="0.25">
      <c r="A248" s="2">
        <v>245</v>
      </c>
      <c r="B248" s="3" t="s">
        <v>577</v>
      </c>
      <c r="C248" s="3" t="s">
        <v>876</v>
      </c>
      <c r="D248" s="3" t="s">
        <v>877</v>
      </c>
      <c r="E248" s="2">
        <v>2021</v>
      </c>
      <c r="F248" s="3" t="s">
        <v>831</v>
      </c>
      <c r="G248" s="2" t="s">
        <v>12</v>
      </c>
      <c r="H248" s="3" t="s">
        <v>38</v>
      </c>
      <c r="I248" s="10" t="str">
        <f>HYPERLINK("http://dx.doi.org/10.2174/1567201818666210423091250","http://dx.doi.org/10.2174/1567201818666210423091250")</f>
        <v>http://dx.doi.org/10.2174/1567201818666210423091250</v>
      </c>
    </row>
    <row r="249" spans="1:9" ht="90" x14ac:dyDescent="0.25">
      <c r="A249" s="2">
        <v>246</v>
      </c>
      <c r="B249" s="3" t="s">
        <v>814</v>
      </c>
      <c r="C249" s="3" t="s">
        <v>878</v>
      </c>
      <c r="D249" s="3" t="s">
        <v>879</v>
      </c>
      <c r="E249" s="2">
        <v>2019</v>
      </c>
      <c r="F249" s="3" t="s">
        <v>880</v>
      </c>
      <c r="G249" s="2" t="s">
        <v>12</v>
      </c>
      <c r="H249" s="3" t="s">
        <v>13</v>
      </c>
      <c r="I249" s="10" t="str">
        <f>HYPERLINK("http://dx.doi.org/10.1007/978-981-13-3140-4_62","http://dx.doi.org/10.1007/978-981-13-3140-4_62")</f>
        <v>http://dx.doi.org/10.1007/978-981-13-3140-4_62</v>
      </c>
    </row>
    <row r="250" spans="1:9" ht="90" x14ac:dyDescent="0.25">
      <c r="A250" s="2">
        <v>247</v>
      </c>
      <c r="B250" s="3" t="s">
        <v>577</v>
      </c>
      <c r="C250" s="3" t="s">
        <v>20</v>
      </c>
      <c r="D250" s="3" t="s">
        <v>881</v>
      </c>
      <c r="E250" s="2">
        <v>2022</v>
      </c>
      <c r="F250" s="3" t="s">
        <v>261</v>
      </c>
      <c r="G250" s="2" t="s">
        <v>12</v>
      </c>
      <c r="H250" s="3" t="s">
        <v>726</v>
      </c>
      <c r="I250" s="10" t="str">
        <f>HYPERLINK("http://dx.doi.org/10.1186/s43088-022-00332-x","http://dx.doi.org/10.1186/s43088-022-00332-x")</f>
        <v>http://dx.doi.org/10.1186/s43088-022-00332-x</v>
      </c>
    </row>
    <row r="251" spans="1:9" ht="60" x14ac:dyDescent="0.25">
      <c r="A251" s="2">
        <v>248</v>
      </c>
      <c r="B251" s="3" t="s">
        <v>882</v>
      </c>
      <c r="C251" s="3" t="s">
        <v>883</v>
      </c>
      <c r="D251" s="3" t="s">
        <v>884</v>
      </c>
      <c r="E251" s="2">
        <v>2023</v>
      </c>
      <c r="F251" s="3" t="s">
        <v>885</v>
      </c>
      <c r="G251" s="2" t="s">
        <v>12</v>
      </c>
      <c r="H251" s="3" t="s">
        <v>298</v>
      </c>
      <c r="I251" s="10" t="str">
        <f>HYPERLINK("http://dx.doi.org/10.1007/s11696-022-02585-3","http://dx.doi.org/10.1007/s11696-022-02585-3")</f>
        <v>http://dx.doi.org/10.1007/s11696-022-02585-3</v>
      </c>
    </row>
    <row r="252" spans="1:9" ht="45" x14ac:dyDescent="0.25">
      <c r="A252" s="2">
        <v>249</v>
      </c>
      <c r="B252" s="3" t="s">
        <v>886</v>
      </c>
      <c r="C252" s="3" t="s">
        <v>887</v>
      </c>
      <c r="D252" s="3" t="s">
        <v>888</v>
      </c>
      <c r="E252" s="2">
        <v>2022</v>
      </c>
      <c r="F252" s="3" t="s">
        <v>889</v>
      </c>
      <c r="G252" s="2" t="s">
        <v>12</v>
      </c>
      <c r="H252" s="3" t="s">
        <v>639</v>
      </c>
      <c r="I252" s="12" t="s">
        <v>3204</v>
      </c>
    </row>
    <row r="253" spans="1:9" ht="135" x14ac:dyDescent="0.25">
      <c r="A253" s="2">
        <v>250</v>
      </c>
      <c r="B253" s="3" t="s">
        <v>842</v>
      </c>
      <c r="C253" s="3" t="s">
        <v>890</v>
      </c>
      <c r="D253" s="3" t="s">
        <v>891</v>
      </c>
      <c r="E253" s="2">
        <v>2020</v>
      </c>
      <c r="F253" s="3" t="s">
        <v>399</v>
      </c>
      <c r="G253" s="2" t="s">
        <v>12</v>
      </c>
      <c r="H253" s="3" t="s">
        <v>23</v>
      </c>
      <c r="I253" s="10" t="str">
        <f>HYPERLINK("http://dx.doi.org/10.1002/slct.202001065","http://dx.doi.org/10.1002/slct.202001065")</f>
        <v>http://dx.doi.org/10.1002/slct.202001065</v>
      </c>
    </row>
    <row r="254" spans="1:9" ht="45" x14ac:dyDescent="0.25">
      <c r="A254" s="2">
        <v>251</v>
      </c>
      <c r="B254" s="3" t="s">
        <v>892</v>
      </c>
      <c r="C254" s="3" t="s">
        <v>893</v>
      </c>
      <c r="D254" s="3" t="s">
        <v>894</v>
      </c>
      <c r="E254" s="2">
        <v>2019</v>
      </c>
      <c r="F254" s="3" t="s">
        <v>895</v>
      </c>
      <c r="G254" s="2" t="s">
        <v>12</v>
      </c>
      <c r="H254" s="3" t="s">
        <v>18</v>
      </c>
      <c r="I254" s="10" t="str">
        <f>HYPERLINK("http://dx.doi.org/10.1007/978-981-13-1747-7_10","http://dx.doi.org/10.1007/978-981-13-1747-7_10")</f>
        <v>http://dx.doi.org/10.1007/978-981-13-1747-7_10</v>
      </c>
    </row>
    <row r="255" spans="1:9" ht="105" x14ac:dyDescent="0.25">
      <c r="A255" s="2">
        <v>252</v>
      </c>
      <c r="B255" s="3" t="s">
        <v>896</v>
      </c>
      <c r="C255" s="3" t="s">
        <v>839</v>
      </c>
      <c r="D255" s="3" t="s">
        <v>897</v>
      </c>
      <c r="E255" s="2">
        <v>2018</v>
      </c>
      <c r="F255" s="3" t="s">
        <v>898</v>
      </c>
      <c r="G255" s="2" t="s">
        <v>12</v>
      </c>
      <c r="H255" s="3" t="s">
        <v>899</v>
      </c>
      <c r="I255" s="10" t="s">
        <v>900</v>
      </c>
    </row>
    <row r="256" spans="1:9" ht="90" x14ac:dyDescent="0.25">
      <c r="A256" s="2">
        <v>253</v>
      </c>
      <c r="B256" s="3" t="s">
        <v>901</v>
      </c>
      <c r="C256" s="3" t="s">
        <v>902</v>
      </c>
      <c r="D256" s="3" t="s">
        <v>903</v>
      </c>
      <c r="E256" s="2">
        <v>2018</v>
      </c>
      <c r="F256" s="3" t="s">
        <v>904</v>
      </c>
      <c r="G256" s="2" t="s">
        <v>12</v>
      </c>
      <c r="H256" s="3" t="s">
        <v>72</v>
      </c>
      <c r="I256" s="10" t="s">
        <v>905</v>
      </c>
    </row>
    <row r="257" spans="1:9" ht="60" x14ac:dyDescent="0.25">
      <c r="A257" s="2">
        <v>254</v>
      </c>
      <c r="B257" s="3" t="s">
        <v>906</v>
      </c>
      <c r="C257" s="3" t="s">
        <v>883</v>
      </c>
      <c r="D257" s="3" t="s">
        <v>907</v>
      </c>
      <c r="E257" s="2">
        <v>2023</v>
      </c>
      <c r="F257" s="3" t="s">
        <v>47</v>
      </c>
      <c r="G257" s="2" t="s">
        <v>12</v>
      </c>
      <c r="H257" s="3" t="s">
        <v>48</v>
      </c>
      <c r="I257" s="10" t="str">
        <f>HYPERLINK("http://dx.doi.org/10.1007/s11042-023-14352-x","http://dx.doi.org/10.1007/s11042-023-14352-x")</f>
        <v>http://dx.doi.org/10.1007/s11042-023-14352-x</v>
      </c>
    </row>
    <row r="258" spans="1:9" ht="60" x14ac:dyDescent="0.25">
      <c r="A258" s="2">
        <v>255</v>
      </c>
      <c r="B258" s="3" t="s">
        <v>908</v>
      </c>
      <c r="C258" s="3" t="s">
        <v>450</v>
      </c>
      <c r="D258" s="3" t="s">
        <v>909</v>
      </c>
      <c r="E258" s="2">
        <v>2023</v>
      </c>
      <c r="F258" s="3" t="s">
        <v>910</v>
      </c>
      <c r="G258" s="2" t="s">
        <v>12</v>
      </c>
      <c r="H258" s="3" t="s">
        <v>911</v>
      </c>
      <c r="I258" s="10" t="str">
        <f>HYPERLINK("http://dx.doi.org/10.47974/JIOS-1273","http://dx.doi.org/10.47974/JIOS-1273")</f>
        <v>http://dx.doi.org/10.47974/JIOS-1273</v>
      </c>
    </row>
    <row r="259" spans="1:9" ht="105" x14ac:dyDescent="0.25">
      <c r="A259" s="2">
        <v>256</v>
      </c>
      <c r="B259" s="3" t="s">
        <v>699</v>
      </c>
      <c r="C259" s="3" t="s">
        <v>240</v>
      </c>
      <c r="D259" s="3" t="s">
        <v>912</v>
      </c>
      <c r="E259" s="2">
        <v>2024</v>
      </c>
      <c r="F259" s="3" t="s">
        <v>333</v>
      </c>
      <c r="G259" s="2" t="s">
        <v>12</v>
      </c>
      <c r="H259" s="3" t="s">
        <v>91</v>
      </c>
      <c r="I259" s="10" t="str">
        <f>HYPERLINK("http://dx.doi.org/10.1080/14786419.2022.2146906","http://dx.doi.org/10.1080/14786419.2022.2146906")</f>
        <v>http://dx.doi.org/10.1080/14786419.2022.2146906</v>
      </c>
    </row>
    <row r="260" spans="1:9" ht="150" x14ac:dyDescent="0.25">
      <c r="A260" s="2">
        <v>257</v>
      </c>
      <c r="B260" s="3" t="s">
        <v>913</v>
      </c>
      <c r="C260" s="3" t="s">
        <v>914</v>
      </c>
      <c r="D260" s="3" t="s">
        <v>915</v>
      </c>
      <c r="E260" s="2">
        <v>2023</v>
      </c>
      <c r="F260" s="3" t="s">
        <v>916</v>
      </c>
      <c r="G260" s="2" t="s">
        <v>12</v>
      </c>
      <c r="H260" s="3" t="s">
        <v>205</v>
      </c>
      <c r="I260" s="10" t="str">
        <f>HYPERLINK("http://dx.doi.org/10.1080/07391102.2022.2108495","http://dx.doi.org/10.1080/07391102.2022.2108495")</f>
        <v>http://dx.doi.org/10.1080/07391102.2022.2108495</v>
      </c>
    </row>
    <row r="261" spans="1:9" ht="75" x14ac:dyDescent="0.25">
      <c r="A261" s="2">
        <v>258</v>
      </c>
      <c r="B261" s="3" t="s">
        <v>917</v>
      </c>
      <c r="C261" s="3" t="s">
        <v>918</v>
      </c>
      <c r="D261" s="3" t="s">
        <v>919</v>
      </c>
      <c r="E261" s="2">
        <v>2022</v>
      </c>
      <c r="F261" s="3" t="s">
        <v>27</v>
      </c>
      <c r="G261" s="2" t="s">
        <v>12</v>
      </c>
      <c r="H261" s="3" t="s">
        <v>698</v>
      </c>
      <c r="I261" s="10" t="str">
        <f>HYPERLINK("http://dx.doi.org/10.1134/S107042802203023X","http://dx.doi.org/10.1134/S107042802203023X")</f>
        <v>http://dx.doi.org/10.1134/S107042802203023X</v>
      </c>
    </row>
    <row r="262" spans="1:9" ht="60" x14ac:dyDescent="0.25">
      <c r="A262" s="2">
        <v>259</v>
      </c>
      <c r="B262" s="3" t="s">
        <v>920</v>
      </c>
      <c r="C262" s="3" t="s">
        <v>921</v>
      </c>
      <c r="D262" s="3" t="s">
        <v>922</v>
      </c>
      <c r="E262" s="2">
        <v>2022</v>
      </c>
      <c r="F262" s="3" t="s">
        <v>261</v>
      </c>
      <c r="G262" s="2" t="s">
        <v>12</v>
      </c>
      <c r="H262" s="3" t="s">
        <v>923</v>
      </c>
      <c r="I262" s="10" t="str">
        <f>HYPERLINK("http://dx.doi.org/10.1108/APJBA-10-2020-0376","http://dx.doi.org/10.1108/APJBA-10-2020-0376")</f>
        <v>http://dx.doi.org/10.1108/APJBA-10-2020-0376</v>
      </c>
    </row>
    <row r="263" spans="1:9" ht="75" x14ac:dyDescent="0.25">
      <c r="A263" s="2">
        <v>260</v>
      </c>
      <c r="B263" s="3" t="s">
        <v>924</v>
      </c>
      <c r="C263" s="3" t="s">
        <v>925</v>
      </c>
      <c r="D263" s="3" t="s">
        <v>926</v>
      </c>
      <c r="E263" s="2">
        <v>2021</v>
      </c>
      <c r="F263" s="3" t="s">
        <v>261</v>
      </c>
      <c r="G263" s="2" t="s">
        <v>12</v>
      </c>
      <c r="H263" s="3" t="s">
        <v>277</v>
      </c>
      <c r="I263" s="10" t="str">
        <f>HYPERLINK("http://dx.doi.org/10.1016/j.ecoinf.2020.101181","http://dx.doi.org/10.1016/j.ecoinf.2020.101181")</f>
        <v>http://dx.doi.org/10.1016/j.ecoinf.2020.101181</v>
      </c>
    </row>
    <row r="264" spans="1:9" ht="90" x14ac:dyDescent="0.25">
      <c r="A264" s="2">
        <v>261</v>
      </c>
      <c r="B264" s="3" t="s">
        <v>927</v>
      </c>
      <c r="C264" s="3" t="s">
        <v>928</v>
      </c>
      <c r="D264" s="3" t="s">
        <v>929</v>
      </c>
      <c r="E264" s="2">
        <v>2021</v>
      </c>
      <c r="F264" s="3" t="s">
        <v>421</v>
      </c>
      <c r="G264" s="2" t="s">
        <v>12</v>
      </c>
      <c r="H264" s="3" t="s">
        <v>471</v>
      </c>
      <c r="I264" s="10" t="str">
        <f>HYPERLINK("http://dx.doi.org/10.13040/IJPSR.0975-8232.12(1).487-90","http://dx.doi.org/10.13040/IJPSR.0975-8232.12(1).487-90")</f>
        <v>http://dx.doi.org/10.13040/IJPSR.0975-8232.12(1).487-90</v>
      </c>
    </row>
    <row r="265" spans="1:9" ht="45" x14ac:dyDescent="0.25">
      <c r="A265" s="2">
        <v>262</v>
      </c>
      <c r="B265" s="3" t="s">
        <v>930</v>
      </c>
      <c r="C265" s="3" t="s">
        <v>931</v>
      </c>
      <c r="D265" s="3" t="s">
        <v>932</v>
      </c>
      <c r="E265" s="2">
        <v>2018</v>
      </c>
      <c r="F265" s="3" t="s">
        <v>313</v>
      </c>
      <c r="G265" s="2" t="s">
        <v>12</v>
      </c>
      <c r="H265" s="3" t="s">
        <v>686</v>
      </c>
      <c r="I265" s="10" t="str">
        <f>HYPERLINK("http://dx.doi.org/10.1016/j.procs.2018.10.351","http://dx.doi.org/10.1016/j.procs.2018.10.351")</f>
        <v>http://dx.doi.org/10.1016/j.procs.2018.10.351</v>
      </c>
    </row>
    <row r="266" spans="1:9" ht="75" x14ac:dyDescent="0.25">
      <c r="A266" s="2">
        <v>263</v>
      </c>
      <c r="B266" s="3" t="s">
        <v>933</v>
      </c>
      <c r="C266" s="3" t="s">
        <v>641</v>
      </c>
      <c r="D266" s="3" t="s">
        <v>934</v>
      </c>
      <c r="E266" s="2">
        <v>2022</v>
      </c>
      <c r="F266" s="3" t="s">
        <v>313</v>
      </c>
      <c r="G266" s="2" t="s">
        <v>12</v>
      </c>
      <c r="H266" s="3" t="s">
        <v>935</v>
      </c>
      <c r="I266" s="10" t="str">
        <f>HYPERLINK("http://dx.doi.org/10.30544/758","http://dx.doi.org/10.30544/758")</f>
        <v>http://dx.doi.org/10.30544/758</v>
      </c>
    </row>
    <row r="267" spans="1:9" ht="90" x14ac:dyDescent="0.25">
      <c r="A267" s="2">
        <v>264</v>
      </c>
      <c r="B267" s="3" t="s">
        <v>936</v>
      </c>
      <c r="C267" s="3" t="s">
        <v>883</v>
      </c>
      <c r="D267" s="3" t="s">
        <v>937</v>
      </c>
      <c r="E267" s="2">
        <v>2021</v>
      </c>
      <c r="F267" s="3" t="s">
        <v>625</v>
      </c>
      <c r="G267" s="2" t="s">
        <v>12</v>
      </c>
      <c r="H267" s="3" t="s">
        <v>58</v>
      </c>
      <c r="I267" s="10" t="str">
        <f>HYPERLINK("http://dx.doi.org/10.1039/d1ra05190c","http://dx.doi.org/10.1039/d1ra05190c")</f>
        <v>http://dx.doi.org/10.1039/d1ra05190c</v>
      </c>
    </row>
    <row r="268" spans="1:9" ht="105" x14ac:dyDescent="0.25">
      <c r="A268" s="2">
        <v>265</v>
      </c>
      <c r="B268" s="3" t="s">
        <v>938</v>
      </c>
      <c r="C268" s="3" t="s">
        <v>939</v>
      </c>
      <c r="D268" s="3" t="s">
        <v>940</v>
      </c>
      <c r="E268" s="2">
        <v>2022</v>
      </c>
      <c r="F268" s="3" t="s">
        <v>941</v>
      </c>
      <c r="G268" s="2" t="s">
        <v>12</v>
      </c>
      <c r="H268" s="3" t="s">
        <v>91</v>
      </c>
      <c r="I268" s="10" t="str">
        <f>HYPERLINK("http://dx.doi.org/10.1080/10406638.2021.1994427","http://dx.doi.org/10.1080/10406638.2021.1994427")</f>
        <v>http://dx.doi.org/10.1080/10406638.2021.1994427</v>
      </c>
    </row>
    <row r="269" spans="1:9" ht="45" x14ac:dyDescent="0.25">
      <c r="A269" s="2">
        <v>266</v>
      </c>
      <c r="B269" s="3" t="s">
        <v>942</v>
      </c>
      <c r="C269" s="3" t="s">
        <v>943</v>
      </c>
      <c r="D269" s="3" t="s">
        <v>944</v>
      </c>
      <c r="E269" s="2">
        <v>2019</v>
      </c>
      <c r="F269" s="3" t="s">
        <v>261</v>
      </c>
      <c r="G269" s="2" t="s">
        <v>12</v>
      </c>
      <c r="H269" s="3" t="s">
        <v>525</v>
      </c>
      <c r="I269" s="10" t="str">
        <f>HYPERLINK("http://dx.doi.org/10.1063/1.5086629","http://dx.doi.org/10.1063/1.5086629")</f>
        <v>http://dx.doi.org/10.1063/1.5086629</v>
      </c>
    </row>
    <row r="270" spans="1:9" ht="75" x14ac:dyDescent="0.25">
      <c r="A270" s="2">
        <v>267</v>
      </c>
      <c r="B270" s="3" t="s">
        <v>945</v>
      </c>
      <c r="C270" s="3" t="s">
        <v>946</v>
      </c>
      <c r="D270" s="3" t="s">
        <v>947</v>
      </c>
      <c r="E270" s="2">
        <v>2022</v>
      </c>
      <c r="F270" s="3" t="s">
        <v>885</v>
      </c>
      <c r="G270" s="2" t="s">
        <v>12</v>
      </c>
      <c r="H270" s="3" t="s">
        <v>948</v>
      </c>
      <c r="I270" s="10" t="str">
        <f>HYPERLINK("http://dx.doi.org/10.46793/KgJMat2203.443B","http://dx.doi.org/10.46793/KgJMat2203.443B")</f>
        <v>http://dx.doi.org/10.46793/KgJMat2203.443B</v>
      </c>
    </row>
    <row r="271" spans="1:9" ht="90" x14ac:dyDescent="0.25">
      <c r="A271" s="2">
        <v>268</v>
      </c>
      <c r="B271" s="3" t="s">
        <v>842</v>
      </c>
      <c r="C271" s="3" t="s">
        <v>949</v>
      </c>
      <c r="D271" s="3" t="s">
        <v>950</v>
      </c>
      <c r="E271" s="2">
        <v>2022</v>
      </c>
      <c r="F271" s="3" t="s">
        <v>951</v>
      </c>
      <c r="G271" s="2" t="s">
        <v>12</v>
      </c>
      <c r="H271" s="3" t="s">
        <v>952</v>
      </c>
      <c r="I271" s="10" t="str">
        <f>HYPERLINK("http://dx.doi.org/10.1007/s00706-021-02868-7","http://dx.doi.org/10.1007/s00706-021-02868-7")</f>
        <v>http://dx.doi.org/10.1007/s00706-021-02868-7</v>
      </c>
    </row>
    <row r="272" spans="1:9" ht="75" x14ac:dyDescent="0.25">
      <c r="A272" s="2">
        <v>269</v>
      </c>
      <c r="B272" s="3" t="s">
        <v>953</v>
      </c>
      <c r="C272" s="3" t="s">
        <v>433</v>
      </c>
      <c r="D272" s="3" t="s">
        <v>954</v>
      </c>
      <c r="E272" s="2">
        <v>2021</v>
      </c>
      <c r="F272" s="3" t="s">
        <v>955</v>
      </c>
      <c r="G272" s="2" t="s">
        <v>12</v>
      </c>
      <c r="H272" s="3" t="s">
        <v>23</v>
      </c>
      <c r="I272" s="10" t="str">
        <f>HYPERLINK("http://dx.doi.org/10.1002/slct.202101035","http://dx.doi.org/10.1002/slct.202101035")</f>
        <v>http://dx.doi.org/10.1002/slct.202101035</v>
      </c>
    </row>
    <row r="273" spans="1:9" ht="90" x14ac:dyDescent="0.25">
      <c r="A273" s="2">
        <v>270</v>
      </c>
      <c r="B273" s="3" t="s">
        <v>956</v>
      </c>
      <c r="C273" s="3" t="s">
        <v>957</v>
      </c>
      <c r="D273" s="3" t="s">
        <v>958</v>
      </c>
      <c r="E273" s="2">
        <v>2020</v>
      </c>
      <c r="F273" s="3" t="s">
        <v>959</v>
      </c>
      <c r="G273" s="2" t="s">
        <v>12</v>
      </c>
      <c r="H273" s="3" t="s">
        <v>205</v>
      </c>
      <c r="I273" s="10" t="str">
        <f>HYPERLINK("http://dx.doi.org/10.1080/00304948.2020.1804773","http://dx.doi.org/10.1080/00304948.2020.1804773")</f>
        <v>http://dx.doi.org/10.1080/00304948.2020.1804773</v>
      </c>
    </row>
    <row r="274" spans="1:9" ht="75" x14ac:dyDescent="0.25">
      <c r="A274" s="2">
        <v>271</v>
      </c>
      <c r="B274" s="3" t="s">
        <v>960</v>
      </c>
      <c r="C274" s="3" t="s">
        <v>961</v>
      </c>
      <c r="D274" s="3" t="s">
        <v>962</v>
      </c>
      <c r="E274" s="2">
        <v>2018</v>
      </c>
      <c r="F274" s="3" t="s">
        <v>910</v>
      </c>
      <c r="G274" s="2" t="s">
        <v>12</v>
      </c>
      <c r="H274" s="3" t="s">
        <v>431</v>
      </c>
      <c r="I274" s="10" t="str">
        <f>HYPERLINK("http://dx.doi.org/10.5666/KMJ.2018.58.4.677","http://dx.doi.org/10.5666/KMJ.2018.58.4.677")</f>
        <v>http://dx.doi.org/10.5666/KMJ.2018.58.4.677</v>
      </c>
    </row>
    <row r="275" spans="1:9" ht="45" x14ac:dyDescent="0.25">
      <c r="A275" s="2">
        <v>272</v>
      </c>
      <c r="B275" s="3" t="s">
        <v>963</v>
      </c>
      <c r="C275" s="3" t="s">
        <v>964</v>
      </c>
      <c r="D275" s="3" t="s">
        <v>965</v>
      </c>
      <c r="E275" s="2">
        <v>2018</v>
      </c>
      <c r="F275" s="3" t="s">
        <v>837</v>
      </c>
      <c r="G275" s="2" t="s">
        <v>12</v>
      </c>
      <c r="H275" s="3" t="s">
        <v>966</v>
      </c>
      <c r="I275" s="10" t="s">
        <v>967</v>
      </c>
    </row>
    <row r="276" spans="1:9" ht="45" x14ac:dyDescent="0.25">
      <c r="A276" s="2">
        <v>273</v>
      </c>
      <c r="B276" s="3" t="s">
        <v>619</v>
      </c>
      <c r="C276" s="3" t="s">
        <v>56</v>
      </c>
      <c r="D276" s="3" t="s">
        <v>968</v>
      </c>
      <c r="E276" s="2">
        <v>2021</v>
      </c>
      <c r="F276" s="3" t="s">
        <v>559</v>
      </c>
      <c r="G276" s="2" t="s">
        <v>12</v>
      </c>
      <c r="H276" s="3" t="s">
        <v>181</v>
      </c>
      <c r="I276" s="10" t="str">
        <f>HYPERLINK("http://dx.doi.org/10.1016/j.compeleceng.2021.107127","http://dx.doi.org/10.1016/j.compeleceng.2021.107127")</f>
        <v>http://dx.doi.org/10.1016/j.compeleceng.2021.107127</v>
      </c>
    </row>
    <row r="277" spans="1:9" ht="75" x14ac:dyDescent="0.25">
      <c r="A277" s="2">
        <v>274</v>
      </c>
      <c r="B277" s="3" t="s">
        <v>667</v>
      </c>
      <c r="C277" s="3" t="s">
        <v>969</v>
      </c>
      <c r="D277" s="3" t="s">
        <v>970</v>
      </c>
      <c r="E277" s="2">
        <v>2021</v>
      </c>
      <c r="F277" s="3" t="s">
        <v>467</v>
      </c>
      <c r="G277" s="2" t="s">
        <v>12</v>
      </c>
      <c r="H277" s="3" t="s">
        <v>48</v>
      </c>
      <c r="I277" s="10" t="str">
        <f>HYPERLINK("http://dx.doi.org/10.1007/s13738-021-02160-9","http://dx.doi.org/10.1007/s13738-021-02160-9")</f>
        <v>http://dx.doi.org/10.1007/s13738-021-02160-9</v>
      </c>
    </row>
    <row r="278" spans="1:9" ht="60" x14ac:dyDescent="0.25">
      <c r="A278" s="2">
        <v>275</v>
      </c>
      <c r="B278" s="3" t="s">
        <v>971</v>
      </c>
      <c r="C278" s="3" t="s">
        <v>972</v>
      </c>
      <c r="D278" s="3" t="s">
        <v>973</v>
      </c>
      <c r="E278" s="2">
        <v>2022</v>
      </c>
      <c r="F278" s="3" t="s">
        <v>974</v>
      </c>
      <c r="G278" s="2" t="s">
        <v>12</v>
      </c>
      <c r="H278" s="3" t="s">
        <v>583</v>
      </c>
      <c r="I278" s="10" t="str">
        <f>HYPERLINK("http://dx.doi.org/10.1155/2022/3966177","http://dx.doi.org/10.1155/2022/3966177")</f>
        <v>http://dx.doi.org/10.1155/2022/3966177</v>
      </c>
    </row>
    <row r="279" spans="1:9" ht="60" x14ac:dyDescent="0.25">
      <c r="A279" s="2">
        <v>276</v>
      </c>
      <c r="B279" s="3" t="s">
        <v>975</v>
      </c>
      <c r="C279" s="3" t="s">
        <v>976</v>
      </c>
      <c r="D279" s="3" t="s">
        <v>977</v>
      </c>
      <c r="E279" s="2">
        <v>2022</v>
      </c>
      <c r="F279" s="3" t="s">
        <v>978</v>
      </c>
      <c r="G279" s="2" t="s">
        <v>12</v>
      </c>
      <c r="H279" s="3" t="s">
        <v>205</v>
      </c>
      <c r="I279" s="10" t="str">
        <f>HYPERLINK("http://dx.doi.org/10.1080/00304948.2021.2007699","http://dx.doi.org/10.1080/00304948.2021.2007699")</f>
        <v>http://dx.doi.org/10.1080/00304948.2021.2007699</v>
      </c>
    </row>
    <row r="280" spans="1:9" ht="90" x14ac:dyDescent="0.25">
      <c r="A280" s="2">
        <v>277</v>
      </c>
      <c r="B280" s="3" t="s">
        <v>979</v>
      </c>
      <c r="C280" s="3" t="s">
        <v>25</v>
      </c>
      <c r="D280" s="3" t="s">
        <v>980</v>
      </c>
      <c r="E280" s="2">
        <v>2019</v>
      </c>
      <c r="F280" s="3" t="s">
        <v>635</v>
      </c>
      <c r="G280" s="2" t="s">
        <v>12</v>
      </c>
      <c r="H280" s="3" t="s">
        <v>471</v>
      </c>
      <c r="I280" s="10" t="str">
        <f>HYPERLINK("http://dx.doi.org/10.13040/IJPSR.0975-8232.10(7).3250-56","http://dx.doi.org/10.13040/IJPSR.0975-8232.10(7).3250-56")</f>
        <v>http://dx.doi.org/10.13040/IJPSR.0975-8232.10(7).3250-56</v>
      </c>
    </row>
    <row r="281" spans="1:9" ht="90" x14ac:dyDescent="0.25">
      <c r="A281" s="2">
        <v>278</v>
      </c>
      <c r="B281" s="3" t="s">
        <v>981</v>
      </c>
      <c r="C281" s="3" t="s">
        <v>982</v>
      </c>
      <c r="D281" s="3" t="s">
        <v>983</v>
      </c>
      <c r="E281" s="2">
        <v>2019</v>
      </c>
      <c r="F281" s="3" t="s">
        <v>984</v>
      </c>
      <c r="G281" s="2" t="s">
        <v>12</v>
      </c>
      <c r="H281" s="3" t="s">
        <v>256</v>
      </c>
      <c r="I281" s="10" t="str">
        <f>HYPERLINK("http://dx.doi.org/10.17807/orbital.v11i3.1175","http://dx.doi.org/10.17807/orbital.v11i3.1175")</f>
        <v>http://dx.doi.org/10.17807/orbital.v11i3.1175</v>
      </c>
    </row>
    <row r="282" spans="1:9" ht="75" x14ac:dyDescent="0.25">
      <c r="A282" s="2">
        <v>279</v>
      </c>
      <c r="B282" s="3" t="s">
        <v>985</v>
      </c>
      <c r="C282" s="3" t="s">
        <v>986</v>
      </c>
      <c r="D282" s="3" t="s">
        <v>987</v>
      </c>
      <c r="E282" s="2">
        <v>2023</v>
      </c>
      <c r="F282" s="3" t="s">
        <v>941</v>
      </c>
      <c r="G282" s="2" t="s">
        <v>12</v>
      </c>
      <c r="H282" s="3" t="s">
        <v>48</v>
      </c>
      <c r="I282" s="10" t="str">
        <f>HYPERLINK("http://dx.doi.org/10.1007/s12678-023-00839-6","http://dx.doi.org/10.1007/s12678-023-00839-6")</f>
        <v>http://dx.doi.org/10.1007/s12678-023-00839-6</v>
      </c>
    </row>
    <row r="283" spans="1:9" ht="45" x14ac:dyDescent="0.25">
      <c r="A283" s="2">
        <v>280</v>
      </c>
      <c r="B283" s="3" t="s">
        <v>988</v>
      </c>
      <c r="C283" s="3" t="s">
        <v>461</v>
      </c>
      <c r="D283" s="3" t="s">
        <v>989</v>
      </c>
      <c r="E283" s="2">
        <v>2023</v>
      </c>
      <c r="F283" s="3" t="s">
        <v>990</v>
      </c>
      <c r="G283" s="2" t="s">
        <v>12</v>
      </c>
      <c r="H283" s="3" t="s">
        <v>726</v>
      </c>
      <c r="I283" s="10" t="str">
        <f>HYPERLINK("http://dx.doi.org/10.1007/s44199-022-00051-3","http://dx.doi.org/10.1007/s44199-022-00051-3")</f>
        <v>http://dx.doi.org/10.1007/s44199-022-00051-3</v>
      </c>
    </row>
    <row r="284" spans="1:9" ht="45" x14ac:dyDescent="0.25">
      <c r="A284" s="2">
        <v>281</v>
      </c>
      <c r="B284" s="3" t="s">
        <v>858</v>
      </c>
      <c r="C284" s="3" t="s">
        <v>60</v>
      </c>
      <c r="D284" s="3" t="s">
        <v>991</v>
      </c>
      <c r="E284" s="2">
        <v>2022</v>
      </c>
      <c r="F284" s="3" t="s">
        <v>310</v>
      </c>
      <c r="G284" s="2" t="s">
        <v>12</v>
      </c>
      <c r="H284" s="3" t="s">
        <v>583</v>
      </c>
      <c r="I284" s="10" t="str">
        <f>HYPERLINK("http://dx.doi.org/10.1155/2022/7419031","http://dx.doi.org/10.1155/2022/7419031")</f>
        <v>http://dx.doi.org/10.1155/2022/7419031</v>
      </c>
    </row>
    <row r="285" spans="1:9" ht="75" x14ac:dyDescent="0.25">
      <c r="A285" s="2">
        <v>282</v>
      </c>
      <c r="B285" s="3" t="s">
        <v>992</v>
      </c>
      <c r="C285" s="3" t="s">
        <v>60</v>
      </c>
      <c r="D285" s="3" t="s">
        <v>993</v>
      </c>
      <c r="E285" s="2">
        <v>2021</v>
      </c>
      <c r="F285" s="3" t="s">
        <v>994</v>
      </c>
      <c r="G285" s="2" t="s">
        <v>12</v>
      </c>
      <c r="H285" s="3" t="s">
        <v>277</v>
      </c>
      <c r="I285" s="10" t="str">
        <f>HYPERLINK("http://dx.doi.org/10.1016/j.matpr.2020.08.601","http://dx.doi.org/10.1016/j.matpr.2020.08.601")</f>
        <v>http://dx.doi.org/10.1016/j.matpr.2020.08.601</v>
      </c>
    </row>
    <row r="286" spans="1:9" ht="90" x14ac:dyDescent="0.25">
      <c r="A286" s="2">
        <v>283</v>
      </c>
      <c r="B286" s="3" t="s">
        <v>995</v>
      </c>
      <c r="C286" s="3" t="s">
        <v>680</v>
      </c>
      <c r="D286" s="3" t="s">
        <v>996</v>
      </c>
      <c r="E286" s="2">
        <v>2020</v>
      </c>
      <c r="F286" s="3" t="s">
        <v>997</v>
      </c>
      <c r="G286" s="2" t="s">
        <v>12</v>
      </c>
      <c r="H286" s="3" t="s">
        <v>698</v>
      </c>
      <c r="I286" s="10" t="str">
        <f>HYPERLINK("http://dx.doi.org/10.1134/S1070363220080216","http://dx.doi.org/10.1134/S1070363220080216")</f>
        <v>http://dx.doi.org/10.1134/S1070363220080216</v>
      </c>
    </row>
    <row r="287" spans="1:9" ht="60" x14ac:dyDescent="0.25">
      <c r="A287" s="2">
        <v>284</v>
      </c>
      <c r="B287" s="3" t="s">
        <v>998</v>
      </c>
      <c r="C287" s="3" t="s">
        <v>211</v>
      </c>
      <c r="D287" s="3" t="s">
        <v>999</v>
      </c>
      <c r="E287" s="2">
        <v>2020</v>
      </c>
      <c r="F287" s="3" t="s">
        <v>1000</v>
      </c>
      <c r="G287" s="2" t="s">
        <v>12</v>
      </c>
      <c r="H287" s="3" t="s">
        <v>277</v>
      </c>
      <c r="I287" s="10" t="str">
        <f>HYPERLINK("http://dx.doi.org/10.1016/j.gsd.2020.100345","http://dx.doi.org/10.1016/j.gsd.2020.100345")</f>
        <v>http://dx.doi.org/10.1016/j.gsd.2020.100345</v>
      </c>
    </row>
    <row r="288" spans="1:9" ht="75" x14ac:dyDescent="0.25">
      <c r="A288" s="2">
        <v>285</v>
      </c>
      <c r="B288" s="3" t="s">
        <v>650</v>
      </c>
      <c r="C288" s="3" t="s">
        <v>1001</v>
      </c>
      <c r="D288" s="3" t="s">
        <v>1002</v>
      </c>
      <c r="E288" s="2">
        <v>2018</v>
      </c>
      <c r="F288" s="3" t="s">
        <v>1003</v>
      </c>
      <c r="G288" s="2" t="s">
        <v>12</v>
      </c>
      <c r="H288" s="3" t="s">
        <v>677</v>
      </c>
      <c r="I288" s="10" t="s">
        <v>1004</v>
      </c>
    </row>
    <row r="289" spans="1:9" ht="75" x14ac:dyDescent="0.25">
      <c r="A289" s="2">
        <v>286</v>
      </c>
      <c r="B289" s="3" t="s">
        <v>1005</v>
      </c>
      <c r="C289" s="3" t="s">
        <v>946</v>
      </c>
      <c r="D289" s="3" t="s">
        <v>1006</v>
      </c>
      <c r="E289" s="2">
        <v>2023</v>
      </c>
      <c r="F289" s="3" t="s">
        <v>1007</v>
      </c>
      <c r="G289" s="2" t="s">
        <v>12</v>
      </c>
      <c r="H289" s="3" t="s">
        <v>205</v>
      </c>
      <c r="I289" s="10" t="str">
        <f>HYPERLINK("http://dx.doi.org/10.1080/00304948.2023.2299160","http://dx.doi.org/10.1080/00304948.2023.2299160")</f>
        <v>http://dx.doi.org/10.1080/00304948.2023.2299160</v>
      </c>
    </row>
    <row r="290" spans="1:9" ht="75" x14ac:dyDescent="0.25">
      <c r="A290" s="2">
        <v>287</v>
      </c>
      <c r="B290" s="3" t="s">
        <v>1008</v>
      </c>
      <c r="C290" s="3" t="s">
        <v>1009</v>
      </c>
      <c r="D290" s="3" t="s">
        <v>1010</v>
      </c>
      <c r="E290" s="2">
        <v>2023</v>
      </c>
      <c r="F290" s="3" t="s">
        <v>941</v>
      </c>
      <c r="G290" s="2" t="s">
        <v>12</v>
      </c>
      <c r="H290" s="3" t="s">
        <v>1011</v>
      </c>
      <c r="I290" s="10" t="str">
        <f>HYPERLINK("http://dx.doi.org/10.1016/j.hermed.2023.100792","http://dx.doi.org/10.1016/j.hermed.2023.100792")</f>
        <v>http://dx.doi.org/10.1016/j.hermed.2023.100792</v>
      </c>
    </row>
    <row r="291" spans="1:9" ht="60" x14ac:dyDescent="0.25">
      <c r="A291" s="2">
        <v>288</v>
      </c>
      <c r="B291" s="3" t="s">
        <v>1012</v>
      </c>
      <c r="C291" s="3" t="s">
        <v>225</v>
      </c>
      <c r="D291" s="3" t="s">
        <v>1013</v>
      </c>
      <c r="E291" s="2">
        <v>2023</v>
      </c>
      <c r="F291" s="3" t="s">
        <v>885</v>
      </c>
      <c r="G291" s="2" t="s">
        <v>12</v>
      </c>
      <c r="H291" s="3" t="s">
        <v>799</v>
      </c>
      <c r="I291" s="10" t="str">
        <f>HYPERLINK("http://dx.doi.org/10.3390/su15086973","http://dx.doi.org/10.3390/su15086973")</f>
        <v>http://dx.doi.org/10.3390/su15086973</v>
      </c>
    </row>
    <row r="292" spans="1:9" ht="60" x14ac:dyDescent="0.25">
      <c r="A292" s="2">
        <v>289</v>
      </c>
      <c r="B292" s="3" t="s">
        <v>1014</v>
      </c>
      <c r="C292" s="3" t="s">
        <v>1015</v>
      </c>
      <c r="D292" s="3" t="s">
        <v>1016</v>
      </c>
      <c r="E292" s="2">
        <v>2023</v>
      </c>
      <c r="F292" s="3" t="s">
        <v>313</v>
      </c>
      <c r="G292" s="2" t="s">
        <v>12</v>
      </c>
      <c r="H292" s="3" t="s">
        <v>1017</v>
      </c>
      <c r="I292" s="11" t="s">
        <v>1018</v>
      </c>
    </row>
    <row r="293" spans="1:9" ht="60" x14ac:dyDescent="0.25">
      <c r="A293" s="2">
        <v>290</v>
      </c>
      <c r="B293" s="3" t="s">
        <v>1019</v>
      </c>
      <c r="C293" s="3" t="s">
        <v>969</v>
      </c>
      <c r="D293" s="3" t="s">
        <v>1020</v>
      </c>
      <c r="E293" s="2">
        <v>2022</v>
      </c>
      <c r="F293" s="3" t="s">
        <v>47</v>
      </c>
      <c r="G293" s="2" t="s">
        <v>12</v>
      </c>
      <c r="H293" s="3" t="s">
        <v>368</v>
      </c>
      <c r="I293" s="10" t="str">
        <f>HYPERLINK("http://dx.doi.org/10.1080/02681102.2022.2073325","http://dx.doi.org/10.1080/02681102.2022.2073325")</f>
        <v>http://dx.doi.org/10.1080/02681102.2022.2073325</v>
      </c>
    </row>
    <row r="294" spans="1:9" ht="60" x14ac:dyDescent="0.25">
      <c r="A294" s="2">
        <v>291</v>
      </c>
      <c r="B294" s="3" t="s">
        <v>1021</v>
      </c>
      <c r="C294" s="3" t="s">
        <v>946</v>
      </c>
      <c r="D294" s="3" t="s">
        <v>1022</v>
      </c>
      <c r="E294" s="2">
        <v>2021</v>
      </c>
      <c r="F294" s="3" t="s">
        <v>1023</v>
      </c>
      <c r="G294" s="2" t="s">
        <v>12</v>
      </c>
      <c r="H294" s="3" t="s">
        <v>448</v>
      </c>
      <c r="I294" s="10" t="str">
        <f>HYPERLINK("http://dx.doi.org/10.5890/JAND.2021.09.007","http://dx.doi.org/10.5890/JAND.2021.09.007")</f>
        <v>http://dx.doi.org/10.5890/JAND.2021.09.007</v>
      </c>
    </row>
    <row r="295" spans="1:9" ht="90" x14ac:dyDescent="0.25">
      <c r="A295" s="2">
        <v>292</v>
      </c>
      <c r="B295" s="3" t="s">
        <v>1024</v>
      </c>
      <c r="C295" s="3" t="s">
        <v>81</v>
      </c>
      <c r="D295" s="3" t="s">
        <v>1025</v>
      </c>
      <c r="E295" s="2">
        <v>2021</v>
      </c>
      <c r="F295" s="3" t="s">
        <v>1026</v>
      </c>
      <c r="G295" s="2" t="s">
        <v>12</v>
      </c>
      <c r="H295" s="3" t="s">
        <v>1027</v>
      </c>
      <c r="I295" s="10" t="str">
        <f>HYPERLINK("http://dx.doi.org/10.18520/cs/v120/i5/936-941","http://dx.doi.org/10.18520/cs/v120/i5/936-941")</f>
        <v>http://dx.doi.org/10.18520/cs/v120/i5/936-941</v>
      </c>
    </row>
    <row r="296" spans="1:9" ht="105" x14ac:dyDescent="0.25">
      <c r="A296" s="2">
        <v>293</v>
      </c>
      <c r="B296" s="3" t="s">
        <v>1028</v>
      </c>
      <c r="C296" s="3" t="s">
        <v>514</v>
      </c>
      <c r="D296" s="3" t="s">
        <v>1029</v>
      </c>
      <c r="E296" s="2">
        <v>2020</v>
      </c>
      <c r="F296" s="3" t="s">
        <v>338</v>
      </c>
      <c r="G296" s="2" t="s">
        <v>12</v>
      </c>
      <c r="H296" s="3" t="s">
        <v>747</v>
      </c>
      <c r="I296" s="10" t="str">
        <f>HYPERLINK("http://dx.doi.org/10.1016/j.ceramint.2019.12.097","http://dx.doi.org/10.1016/j.ceramint.2019.12.097")</f>
        <v>http://dx.doi.org/10.1016/j.ceramint.2019.12.097</v>
      </c>
    </row>
    <row r="297" spans="1:9" ht="90" x14ac:dyDescent="0.25">
      <c r="A297" s="2">
        <v>294</v>
      </c>
      <c r="B297" s="3" t="s">
        <v>1030</v>
      </c>
      <c r="C297" s="3" t="s">
        <v>1031</v>
      </c>
      <c r="D297" s="3" t="s">
        <v>1032</v>
      </c>
      <c r="E297" s="2">
        <v>2019</v>
      </c>
      <c r="F297" s="3" t="s">
        <v>1033</v>
      </c>
      <c r="G297" s="2" t="s">
        <v>12</v>
      </c>
      <c r="H297" s="3" t="s">
        <v>48</v>
      </c>
      <c r="I297" s="10" t="str">
        <f>HYPERLINK("http://dx.doi.org/10.1007/s10854-018-0386-1","http://dx.doi.org/10.1007/s10854-018-0386-1")</f>
        <v>http://dx.doi.org/10.1007/s10854-018-0386-1</v>
      </c>
    </row>
    <row r="298" spans="1:9" ht="90" x14ac:dyDescent="0.25">
      <c r="A298" s="2">
        <v>295</v>
      </c>
      <c r="B298" s="3" t="s">
        <v>1034</v>
      </c>
      <c r="C298" s="3" t="s">
        <v>1035</v>
      </c>
      <c r="D298" s="3" t="s">
        <v>1036</v>
      </c>
      <c r="E298" s="2">
        <v>2019</v>
      </c>
      <c r="F298" s="3" t="s">
        <v>559</v>
      </c>
      <c r="G298" s="2" t="s">
        <v>12</v>
      </c>
      <c r="H298" s="3" t="s">
        <v>525</v>
      </c>
      <c r="I298" s="10" t="str">
        <f>HYPERLINK("http://dx.doi.org/10.1063/1.5113361","http://dx.doi.org/10.1063/1.5113361")</f>
        <v>http://dx.doi.org/10.1063/1.5113361</v>
      </c>
    </row>
    <row r="299" spans="1:9" ht="60" x14ac:dyDescent="0.25">
      <c r="A299" s="2">
        <v>296</v>
      </c>
      <c r="B299" s="3" t="s">
        <v>1037</v>
      </c>
      <c r="C299" s="3" t="s">
        <v>1038</v>
      </c>
      <c r="D299" s="3" t="s">
        <v>1039</v>
      </c>
      <c r="E299" s="2">
        <v>2018</v>
      </c>
      <c r="F299" s="3" t="s">
        <v>394</v>
      </c>
      <c r="G299" s="2" t="s">
        <v>12</v>
      </c>
      <c r="H299" s="3" t="s">
        <v>58</v>
      </c>
      <c r="I299" s="10" t="str">
        <f>HYPERLINK("http://dx.doi.org/10.1039/c8ra01886c","http://dx.doi.org/10.1039/c8ra01886c")</f>
        <v>http://dx.doi.org/10.1039/c8ra01886c</v>
      </c>
    </row>
    <row r="300" spans="1:9" ht="75" x14ac:dyDescent="0.25">
      <c r="A300" s="2">
        <v>297</v>
      </c>
      <c r="B300" s="3" t="s">
        <v>1040</v>
      </c>
      <c r="C300" s="3" t="s">
        <v>1041</v>
      </c>
      <c r="D300" s="3" t="s">
        <v>1042</v>
      </c>
      <c r="E300" s="2">
        <v>2023</v>
      </c>
      <c r="F300" s="3" t="s">
        <v>261</v>
      </c>
      <c r="G300" s="2" t="s">
        <v>12</v>
      </c>
      <c r="H300" s="3" t="s">
        <v>277</v>
      </c>
      <c r="I300" s="10" t="str">
        <f>HYPERLINK("http://dx.doi.org/10.1016/j.rinam.2023.100377","http://dx.doi.org/10.1016/j.rinam.2023.100377")</f>
        <v>http://dx.doi.org/10.1016/j.rinam.2023.100377</v>
      </c>
    </row>
    <row r="301" spans="1:9" ht="75" x14ac:dyDescent="0.25">
      <c r="A301" s="2">
        <v>298</v>
      </c>
      <c r="B301" s="3" t="s">
        <v>1040</v>
      </c>
      <c r="C301" s="3" t="s">
        <v>211</v>
      </c>
      <c r="D301" s="3" t="s">
        <v>1043</v>
      </c>
      <c r="E301" s="2">
        <v>2022</v>
      </c>
      <c r="F301" s="3" t="s">
        <v>1044</v>
      </c>
      <c r="G301" s="2" t="s">
        <v>12</v>
      </c>
      <c r="H301" s="3" t="s">
        <v>384</v>
      </c>
      <c r="I301" s="10" t="str">
        <f>HYPERLINK("http://dx.doi.org/10.17516/1997-1397-2022-15-5-615-622","http://dx.doi.org/10.17516/1997-1397-2022-15-5-615-622")</f>
        <v>http://dx.doi.org/10.17516/1997-1397-2022-15-5-615-622</v>
      </c>
    </row>
    <row r="302" spans="1:9" ht="60" x14ac:dyDescent="0.25">
      <c r="A302" s="2">
        <v>299</v>
      </c>
      <c r="B302" s="3" t="s">
        <v>1045</v>
      </c>
      <c r="C302" s="3" t="s">
        <v>1046</v>
      </c>
      <c r="D302" s="3" t="s">
        <v>1047</v>
      </c>
      <c r="E302" s="2">
        <v>2020</v>
      </c>
      <c r="F302" s="3" t="s">
        <v>27</v>
      </c>
      <c r="G302" s="2" t="s">
        <v>12</v>
      </c>
      <c r="H302" s="3" t="s">
        <v>1048</v>
      </c>
      <c r="I302" s="10" t="str">
        <f>HYPERLINK("http://dx.doi.org/10.22436/jmcs.021.04.06","http://dx.doi.org/10.22436/jmcs.021.04.06")</f>
        <v>http://dx.doi.org/10.22436/jmcs.021.04.06</v>
      </c>
    </row>
    <row r="303" spans="1:9" ht="90" x14ac:dyDescent="0.25">
      <c r="A303" s="2">
        <v>300</v>
      </c>
      <c r="B303" s="3" t="s">
        <v>1049</v>
      </c>
      <c r="C303" s="3" t="s">
        <v>153</v>
      </c>
      <c r="D303" s="3" t="s">
        <v>1050</v>
      </c>
      <c r="E303" s="2">
        <v>2019</v>
      </c>
      <c r="F303" s="3" t="s">
        <v>261</v>
      </c>
      <c r="G303" s="2" t="s">
        <v>12</v>
      </c>
      <c r="H303" s="3" t="s">
        <v>28</v>
      </c>
      <c r="I303" s="10" t="str">
        <f>HYPERLINK("http://dx.doi.org/10.1021/acsomega.9b01680","http://dx.doi.org/10.1021/acsomega.9b01680")</f>
        <v>http://dx.doi.org/10.1021/acsomega.9b01680</v>
      </c>
    </row>
    <row r="304" spans="1:9" ht="75" x14ac:dyDescent="0.25">
      <c r="A304" s="2">
        <v>301</v>
      </c>
      <c r="B304" s="3" t="s">
        <v>1051</v>
      </c>
      <c r="C304" s="3" t="s">
        <v>1052</v>
      </c>
      <c r="D304" s="3" t="s">
        <v>1053</v>
      </c>
      <c r="E304" s="2">
        <v>2022</v>
      </c>
      <c r="F304" s="3" t="s">
        <v>1054</v>
      </c>
      <c r="G304" s="2" t="s">
        <v>12</v>
      </c>
      <c r="H304" s="3" t="s">
        <v>799</v>
      </c>
      <c r="I304" s="10" t="str">
        <f>HYPERLINK("http://dx.doi.org/10.3390/ijerph191912635","http://dx.doi.org/10.3390/ijerph191912635")</f>
        <v>http://dx.doi.org/10.3390/ijerph191912635</v>
      </c>
    </row>
    <row r="305" spans="1:9" ht="90" x14ac:dyDescent="0.25">
      <c r="A305" s="2">
        <v>302</v>
      </c>
      <c r="B305" s="3" t="s">
        <v>1055</v>
      </c>
      <c r="C305" s="3" t="s">
        <v>1056</v>
      </c>
      <c r="D305" s="3" t="s">
        <v>1057</v>
      </c>
      <c r="E305" s="2">
        <v>2022</v>
      </c>
      <c r="F305" s="3" t="s">
        <v>504</v>
      </c>
      <c r="G305" s="2" t="s">
        <v>12</v>
      </c>
      <c r="H305" s="3" t="s">
        <v>1058</v>
      </c>
      <c r="I305" s="10" t="str">
        <f>HYPERLINK("http://dx.doi.org/10.1186/s12862-022-01992-0","http://dx.doi.org/10.1186/s12862-022-01992-0")</f>
        <v>http://dx.doi.org/10.1186/s12862-022-01992-0</v>
      </c>
    </row>
    <row r="306" spans="1:9" ht="75" x14ac:dyDescent="0.25">
      <c r="A306" s="2">
        <v>303</v>
      </c>
      <c r="B306" s="3" t="s">
        <v>1059</v>
      </c>
      <c r="C306" s="3" t="s">
        <v>1060</v>
      </c>
      <c r="D306" s="3" t="s">
        <v>1061</v>
      </c>
      <c r="E306" s="2">
        <v>2020</v>
      </c>
      <c r="F306" s="3" t="s">
        <v>898</v>
      </c>
      <c r="G306" s="2" t="s">
        <v>12</v>
      </c>
      <c r="H306" s="3" t="s">
        <v>485</v>
      </c>
      <c r="I306" s="10" t="str">
        <f>HYPERLINK("http://dx.doi.org/10.5530/ijper.54.4.206","http://dx.doi.org/10.5530/ijper.54.4.206")</f>
        <v>http://dx.doi.org/10.5530/ijper.54.4.206</v>
      </c>
    </row>
    <row r="307" spans="1:9" ht="90" x14ac:dyDescent="0.25">
      <c r="A307" s="2">
        <v>304</v>
      </c>
      <c r="B307" s="3" t="s">
        <v>1062</v>
      </c>
      <c r="C307" s="3" t="s">
        <v>946</v>
      </c>
      <c r="D307" s="3" t="s">
        <v>1063</v>
      </c>
      <c r="E307" s="2">
        <v>2019</v>
      </c>
      <c r="F307" s="3" t="s">
        <v>539</v>
      </c>
      <c r="G307" s="2" t="s">
        <v>12</v>
      </c>
      <c r="H307" s="3" t="s">
        <v>67</v>
      </c>
      <c r="I307" s="10" t="str">
        <f>HYPERLINK("http://dx.doi.org/10.1002/jhet.3568","http://dx.doi.org/10.1002/jhet.3568")</f>
        <v>http://dx.doi.org/10.1002/jhet.3568</v>
      </c>
    </row>
    <row r="308" spans="1:9" ht="90" x14ac:dyDescent="0.25">
      <c r="A308" s="2">
        <v>305</v>
      </c>
      <c r="B308" s="3" t="s">
        <v>1064</v>
      </c>
      <c r="C308" s="3" t="s">
        <v>1065</v>
      </c>
      <c r="D308" s="3" t="s">
        <v>1066</v>
      </c>
      <c r="E308" s="2">
        <v>2018</v>
      </c>
      <c r="F308" s="3" t="s">
        <v>1067</v>
      </c>
      <c r="G308" s="2" t="s">
        <v>12</v>
      </c>
      <c r="H308" s="3" t="s">
        <v>67</v>
      </c>
      <c r="I308" s="10" t="str">
        <f>HYPERLINK("http://dx.doi.org/10.1002/jhet.3118","http://dx.doi.org/10.1002/jhet.3118")</f>
        <v>http://dx.doi.org/10.1002/jhet.3118</v>
      </c>
    </row>
    <row r="309" spans="1:9" ht="60" x14ac:dyDescent="0.25">
      <c r="A309" s="2">
        <v>306</v>
      </c>
      <c r="B309" s="3" t="s">
        <v>1068</v>
      </c>
      <c r="C309" s="3" t="s">
        <v>211</v>
      </c>
      <c r="D309" s="3" t="s">
        <v>1069</v>
      </c>
      <c r="E309" s="2">
        <v>2024</v>
      </c>
      <c r="F309" s="3" t="s">
        <v>1070</v>
      </c>
      <c r="G309" s="2" t="s">
        <v>12</v>
      </c>
      <c r="H309" s="3" t="s">
        <v>726</v>
      </c>
      <c r="I309" s="10" t="str">
        <f>HYPERLINK("http://dx.doi.org/10.1007/s40435-023-01325-z","http://dx.doi.org/10.1007/s40435-023-01325-z")</f>
        <v>http://dx.doi.org/10.1007/s40435-023-01325-z</v>
      </c>
    </row>
    <row r="310" spans="1:9" ht="90" x14ac:dyDescent="0.25">
      <c r="A310" s="2">
        <v>307</v>
      </c>
      <c r="B310" s="3" t="s">
        <v>1071</v>
      </c>
      <c r="C310" s="3" t="s">
        <v>946</v>
      </c>
      <c r="D310" s="3" t="s">
        <v>1072</v>
      </c>
      <c r="E310" s="2">
        <v>2023</v>
      </c>
      <c r="F310" s="3" t="s">
        <v>1073</v>
      </c>
      <c r="G310" s="2" t="s">
        <v>12</v>
      </c>
      <c r="H310" s="3" t="s">
        <v>48</v>
      </c>
      <c r="I310" s="10" t="str">
        <f>HYPERLINK("http://dx.doi.org/10.1007/s10854-023-11689-9","http://dx.doi.org/10.1007/s10854-023-11689-9")</f>
        <v>http://dx.doi.org/10.1007/s10854-023-11689-9</v>
      </c>
    </row>
    <row r="311" spans="1:9" ht="60" x14ac:dyDescent="0.25">
      <c r="A311" s="2">
        <v>308</v>
      </c>
      <c r="B311" s="3" t="s">
        <v>1074</v>
      </c>
      <c r="C311" s="3" t="s">
        <v>60</v>
      </c>
      <c r="D311" s="3" t="s">
        <v>1075</v>
      </c>
      <c r="E311" s="2">
        <v>2022</v>
      </c>
      <c r="F311" s="3" t="s">
        <v>310</v>
      </c>
      <c r="G311" s="2" t="s">
        <v>12</v>
      </c>
      <c r="H311" s="3" t="s">
        <v>799</v>
      </c>
      <c r="I311" s="10" t="str">
        <f>HYPERLINK("http://dx.doi.org/10.3390/electronics11213448","http://dx.doi.org/10.3390/electronics11213448")</f>
        <v>http://dx.doi.org/10.3390/electronics11213448</v>
      </c>
    </row>
    <row r="312" spans="1:9" ht="105" x14ac:dyDescent="0.25">
      <c r="A312" s="2">
        <v>309</v>
      </c>
      <c r="B312" s="3" t="s">
        <v>1076</v>
      </c>
      <c r="C312" s="3" t="s">
        <v>56</v>
      </c>
      <c r="D312" s="3" t="s">
        <v>1077</v>
      </c>
      <c r="E312" s="2">
        <v>2022</v>
      </c>
      <c r="F312" s="3" t="s">
        <v>628</v>
      </c>
      <c r="G312" s="2" t="s">
        <v>12</v>
      </c>
      <c r="H312" s="3" t="s">
        <v>1017</v>
      </c>
      <c r="I312" s="10" t="str">
        <f>HYPERLINK("http://dx.doi.org/10.36468/pharmaceutical-sciences.906","http://dx.doi.org/10.36468/pharmaceutical-sciences.906")</f>
        <v>http://dx.doi.org/10.36468/pharmaceutical-sciences.906</v>
      </c>
    </row>
    <row r="313" spans="1:9" ht="105" x14ac:dyDescent="0.25">
      <c r="A313" s="2">
        <v>310</v>
      </c>
      <c r="B313" s="3" t="s">
        <v>1078</v>
      </c>
      <c r="C313" s="3" t="s">
        <v>1079</v>
      </c>
      <c r="D313" s="3" t="s">
        <v>1080</v>
      </c>
      <c r="E313" s="2">
        <v>2021</v>
      </c>
      <c r="F313" s="3" t="s">
        <v>638</v>
      </c>
      <c r="G313" s="2" t="s">
        <v>12</v>
      </c>
      <c r="H313" s="3" t="s">
        <v>91</v>
      </c>
      <c r="I313" s="10" t="str">
        <f>HYPERLINK("http://dx.doi.org/10.1080/10426507.2020.1871345","http://dx.doi.org/10.1080/10426507.2020.1871345")</f>
        <v>http://dx.doi.org/10.1080/10426507.2020.1871345</v>
      </c>
    </row>
    <row r="314" spans="1:9" ht="90" x14ac:dyDescent="0.25">
      <c r="A314" s="2">
        <v>311</v>
      </c>
      <c r="B314" s="3" t="s">
        <v>1081</v>
      </c>
      <c r="C314" s="3" t="s">
        <v>458</v>
      </c>
      <c r="D314" s="3" t="s">
        <v>1082</v>
      </c>
      <c r="E314" s="2">
        <v>2019</v>
      </c>
      <c r="F314" s="3" t="s">
        <v>22</v>
      </c>
      <c r="G314" s="2" t="s">
        <v>12</v>
      </c>
      <c r="H314" s="3" t="s">
        <v>58</v>
      </c>
      <c r="I314" s="10" t="str">
        <f>HYPERLINK("http://dx.doi.org/10.1039/c9nj00703b","http://dx.doi.org/10.1039/c9nj00703b")</f>
        <v>http://dx.doi.org/10.1039/c9nj00703b</v>
      </c>
    </row>
    <row r="315" spans="1:9" ht="60" x14ac:dyDescent="0.25">
      <c r="A315" s="2">
        <v>312</v>
      </c>
      <c r="B315" s="3" t="s">
        <v>1083</v>
      </c>
      <c r="C315" s="3" t="s">
        <v>1084</v>
      </c>
      <c r="D315" s="3" t="s">
        <v>1085</v>
      </c>
      <c r="E315" s="2">
        <v>2018</v>
      </c>
      <c r="F315" s="3" t="s">
        <v>704</v>
      </c>
      <c r="G315" s="2" t="s">
        <v>12</v>
      </c>
      <c r="H315" s="3" t="s">
        <v>1086</v>
      </c>
      <c r="I315" s="12" t="s">
        <v>3204</v>
      </c>
    </row>
    <row r="316" spans="1:9" ht="45" x14ac:dyDescent="0.25">
      <c r="A316" s="2">
        <v>313</v>
      </c>
      <c r="B316" s="3" t="s">
        <v>1087</v>
      </c>
      <c r="C316" s="3" t="s">
        <v>1088</v>
      </c>
      <c r="D316" s="3" t="s">
        <v>1089</v>
      </c>
      <c r="E316" s="2">
        <v>2021</v>
      </c>
      <c r="F316" s="3" t="s">
        <v>1090</v>
      </c>
      <c r="G316" s="2" t="s">
        <v>12</v>
      </c>
      <c r="H316" s="3" t="s">
        <v>525</v>
      </c>
      <c r="I316" s="10" t="str">
        <f>HYPERLINK("http://dx.doi.org/10.1063/5.0043689","http://dx.doi.org/10.1063/5.0043689")</f>
        <v>http://dx.doi.org/10.1063/5.0043689</v>
      </c>
    </row>
    <row r="317" spans="1:9" ht="60" x14ac:dyDescent="0.25">
      <c r="A317" s="2">
        <v>314</v>
      </c>
      <c r="B317" s="3" t="s">
        <v>1091</v>
      </c>
      <c r="C317" s="3" t="s">
        <v>81</v>
      </c>
      <c r="D317" s="3" t="s">
        <v>1092</v>
      </c>
      <c r="E317" s="2">
        <v>2020</v>
      </c>
      <c r="F317" s="3" t="s">
        <v>1093</v>
      </c>
      <c r="G317" s="2" t="s">
        <v>12</v>
      </c>
      <c r="H317" s="3" t="s">
        <v>277</v>
      </c>
      <c r="I317" s="10" t="str">
        <f>HYPERLINK("http://dx.doi.org/10.1016/j.rinam.2020.100115","http://dx.doi.org/10.1016/j.rinam.2020.100115")</f>
        <v>http://dx.doi.org/10.1016/j.rinam.2020.100115</v>
      </c>
    </row>
    <row r="318" spans="1:9" ht="75" x14ac:dyDescent="0.25">
      <c r="A318" s="2">
        <v>315</v>
      </c>
      <c r="B318" s="3" t="s">
        <v>1094</v>
      </c>
      <c r="C318" s="3" t="s">
        <v>1095</v>
      </c>
      <c r="D318" s="3" t="s">
        <v>1096</v>
      </c>
      <c r="E318" s="2">
        <v>2019</v>
      </c>
      <c r="F318" s="3" t="s">
        <v>1097</v>
      </c>
      <c r="G318" s="2" t="s">
        <v>12</v>
      </c>
      <c r="H318" s="3" t="s">
        <v>1017</v>
      </c>
      <c r="I318" s="10" t="str">
        <f>HYPERLINK("http://dx.doi.org/10.36468/pharmaceutical-sciences.579","http://dx.doi.org/10.36468/pharmaceutical-sciences.579")</f>
        <v>http://dx.doi.org/10.36468/pharmaceutical-sciences.579</v>
      </c>
    </row>
    <row r="319" spans="1:9" ht="120" x14ac:dyDescent="0.25">
      <c r="A319" s="2">
        <v>316</v>
      </c>
      <c r="B319" s="3" t="s">
        <v>1098</v>
      </c>
      <c r="C319" s="3" t="s">
        <v>45</v>
      </c>
      <c r="D319" s="3" t="s">
        <v>1099</v>
      </c>
      <c r="E319" s="2">
        <v>2022</v>
      </c>
      <c r="F319" s="3" t="s">
        <v>1100</v>
      </c>
      <c r="G319" s="2" t="s">
        <v>12</v>
      </c>
      <c r="H319" s="3" t="s">
        <v>91</v>
      </c>
      <c r="I319" s="10" t="str">
        <f>HYPERLINK("http://dx.doi.org/10.1080/10406638.2021.2006249","http://dx.doi.org/10.1080/10406638.2021.2006249")</f>
        <v>http://dx.doi.org/10.1080/10406638.2021.2006249</v>
      </c>
    </row>
    <row r="320" spans="1:9" ht="60" x14ac:dyDescent="0.25">
      <c r="A320" s="2">
        <v>317</v>
      </c>
      <c r="B320" s="3" t="s">
        <v>1101</v>
      </c>
      <c r="C320" s="3" t="s">
        <v>56</v>
      </c>
      <c r="D320" s="3" t="s">
        <v>1102</v>
      </c>
      <c r="E320" s="2">
        <v>2020</v>
      </c>
      <c r="F320" s="3" t="s">
        <v>394</v>
      </c>
      <c r="G320" s="2" t="s">
        <v>12</v>
      </c>
      <c r="H320" s="3" t="s">
        <v>553</v>
      </c>
      <c r="I320" s="10" t="str">
        <f>HYPERLINK("http://dx.doi.org/10.1007/s40010-019-00636-1","http://dx.doi.org/10.1007/s40010-019-00636-1")</f>
        <v>http://dx.doi.org/10.1007/s40010-019-00636-1</v>
      </c>
    </row>
    <row r="321" spans="1:9" ht="60" x14ac:dyDescent="0.25">
      <c r="A321" s="2">
        <v>318</v>
      </c>
      <c r="B321" s="3" t="s">
        <v>1103</v>
      </c>
      <c r="C321" s="3" t="s">
        <v>1104</v>
      </c>
      <c r="D321" s="3" t="s">
        <v>1105</v>
      </c>
      <c r="E321" s="2">
        <v>2020</v>
      </c>
      <c r="F321" s="3" t="s">
        <v>1106</v>
      </c>
      <c r="G321" s="2" t="s">
        <v>12</v>
      </c>
      <c r="H321" s="3" t="s">
        <v>67</v>
      </c>
      <c r="I321" s="10" t="str">
        <f>HYPERLINK("http://dx.doi.org/10.1002/bmc.4966","http://dx.doi.org/10.1002/bmc.4966")</f>
        <v>http://dx.doi.org/10.1002/bmc.4966</v>
      </c>
    </row>
    <row r="322" spans="1:9" ht="105" x14ac:dyDescent="0.25">
      <c r="A322" s="2">
        <v>319</v>
      </c>
      <c r="B322" s="3" t="s">
        <v>1107</v>
      </c>
      <c r="C322" s="3" t="s">
        <v>25</v>
      </c>
      <c r="D322" s="3" t="s">
        <v>1108</v>
      </c>
      <c r="E322" s="2">
        <v>2020</v>
      </c>
      <c r="F322" s="3" t="s">
        <v>1109</v>
      </c>
      <c r="G322" s="2" t="s">
        <v>12</v>
      </c>
      <c r="H322" s="3" t="s">
        <v>205</v>
      </c>
      <c r="I322" s="10" t="str">
        <f>HYPERLINK("http://dx.doi.org/10.1080/23308249.2020.1723058","http://dx.doi.org/10.1080/23308249.2020.1723058")</f>
        <v>http://dx.doi.org/10.1080/23308249.2020.1723058</v>
      </c>
    </row>
    <row r="323" spans="1:9" ht="90" x14ac:dyDescent="0.25">
      <c r="A323" s="2">
        <v>320</v>
      </c>
      <c r="B323" s="3" t="s">
        <v>1110</v>
      </c>
      <c r="C323" s="3" t="s">
        <v>1111</v>
      </c>
      <c r="D323" s="3" t="s">
        <v>1112</v>
      </c>
      <c r="E323" s="2">
        <v>2023</v>
      </c>
      <c r="F323" s="3" t="s">
        <v>313</v>
      </c>
      <c r="G323" s="2" t="s">
        <v>12</v>
      </c>
      <c r="H323" s="3" t="s">
        <v>205</v>
      </c>
      <c r="I323" s="10" t="str">
        <f>HYPERLINK("http://dx.doi.org/10.1080/01932691.2023.2298871","http://dx.doi.org/10.1080/01932691.2023.2298871")</f>
        <v>http://dx.doi.org/10.1080/01932691.2023.2298871</v>
      </c>
    </row>
    <row r="324" spans="1:9" ht="90" x14ac:dyDescent="0.25">
      <c r="A324" s="2">
        <v>321</v>
      </c>
      <c r="B324" s="3" t="s">
        <v>1019</v>
      </c>
      <c r="C324" s="3" t="s">
        <v>1113</v>
      </c>
      <c r="D324" s="3" t="s">
        <v>1114</v>
      </c>
      <c r="E324" s="2">
        <v>2021</v>
      </c>
      <c r="F324" s="3" t="s">
        <v>898</v>
      </c>
      <c r="G324" s="2" t="s">
        <v>12</v>
      </c>
      <c r="H324" s="3" t="s">
        <v>48</v>
      </c>
      <c r="I324" s="10" t="str">
        <f>HYPERLINK("http://dx.doi.org/10.1007/s00187-020-00310-3","http://dx.doi.org/10.1007/s00187-020-00310-3")</f>
        <v>http://dx.doi.org/10.1007/s00187-020-00310-3</v>
      </c>
    </row>
    <row r="325" spans="1:9" ht="120" x14ac:dyDescent="0.25">
      <c r="A325" s="2">
        <v>322</v>
      </c>
      <c r="B325" s="3" t="s">
        <v>1115</v>
      </c>
      <c r="C325" s="3" t="s">
        <v>192</v>
      </c>
      <c r="D325" s="3" t="s">
        <v>1116</v>
      </c>
      <c r="E325" s="2">
        <v>2022</v>
      </c>
      <c r="F325" s="3" t="s">
        <v>1117</v>
      </c>
      <c r="G325" s="2" t="s">
        <v>12</v>
      </c>
      <c r="H325" s="3" t="s">
        <v>48</v>
      </c>
      <c r="I325" s="10" t="str">
        <f>HYPERLINK("http://dx.doi.org/10.1007/s10854-022-08153-5","http://dx.doi.org/10.1007/s10854-022-08153-5")</f>
        <v>http://dx.doi.org/10.1007/s10854-022-08153-5</v>
      </c>
    </row>
    <row r="326" spans="1:9" ht="75" x14ac:dyDescent="0.25">
      <c r="A326" s="2">
        <v>323</v>
      </c>
      <c r="B326" s="3" t="s">
        <v>246</v>
      </c>
      <c r="C326" s="3" t="s">
        <v>961</v>
      </c>
      <c r="D326" s="3" t="s">
        <v>1118</v>
      </c>
      <c r="E326" s="2">
        <v>2022</v>
      </c>
      <c r="F326" s="3" t="s">
        <v>837</v>
      </c>
      <c r="G326" s="2" t="s">
        <v>12</v>
      </c>
      <c r="H326" s="3" t="s">
        <v>1119</v>
      </c>
      <c r="I326" s="10" t="str">
        <f>HYPERLINK("http://dx.doi.org/10.52547/ijmsi.17.1.135","http://dx.doi.org/10.52547/ijmsi.17.1.135")</f>
        <v>http://dx.doi.org/10.52547/ijmsi.17.1.135</v>
      </c>
    </row>
    <row r="327" spans="1:9" ht="90" x14ac:dyDescent="0.25">
      <c r="A327" s="2">
        <v>324</v>
      </c>
      <c r="B327" s="3" t="s">
        <v>1040</v>
      </c>
      <c r="C327" s="3" t="s">
        <v>599</v>
      </c>
      <c r="D327" s="3" t="s">
        <v>1120</v>
      </c>
      <c r="E327" s="2">
        <v>2021</v>
      </c>
      <c r="F327" s="3" t="s">
        <v>1097</v>
      </c>
      <c r="G327" s="2" t="s">
        <v>12</v>
      </c>
      <c r="H327" s="3" t="s">
        <v>160</v>
      </c>
      <c r="I327" s="10" t="str">
        <f>HYPERLINK("http://dx.doi.org/10.12941/jksiam.2021.25.016","http://dx.doi.org/10.12941/jksiam.2021.25.016")</f>
        <v>http://dx.doi.org/10.12941/jksiam.2021.25.016</v>
      </c>
    </row>
    <row r="328" spans="1:9" ht="45" x14ac:dyDescent="0.25">
      <c r="A328" s="2">
        <v>325</v>
      </c>
      <c r="B328" s="3" t="s">
        <v>1121</v>
      </c>
      <c r="C328" s="3" t="s">
        <v>1122</v>
      </c>
      <c r="D328" s="3" t="s">
        <v>1123</v>
      </c>
      <c r="E328" s="2">
        <v>2019</v>
      </c>
      <c r="F328" s="3" t="s">
        <v>1124</v>
      </c>
      <c r="G328" s="2" t="s">
        <v>12</v>
      </c>
      <c r="H328" s="3" t="s">
        <v>1125</v>
      </c>
      <c r="I328" s="10" t="str">
        <f>HYPERLINK("http://dx.doi.org/10.11646/phytotaxa.415.1.6","http://dx.doi.org/10.11646/phytotaxa.415.1.6")</f>
        <v>http://dx.doi.org/10.11646/phytotaxa.415.1.6</v>
      </c>
    </row>
    <row r="329" spans="1:9" ht="60" x14ac:dyDescent="0.25">
      <c r="A329" s="2">
        <v>326</v>
      </c>
      <c r="B329" s="3" t="s">
        <v>1126</v>
      </c>
      <c r="C329" s="3" t="s">
        <v>1127</v>
      </c>
      <c r="D329" s="3" t="s">
        <v>1128</v>
      </c>
      <c r="E329" s="2">
        <v>2018</v>
      </c>
      <c r="F329" s="3" t="s">
        <v>313</v>
      </c>
      <c r="G329" s="2" t="s">
        <v>12</v>
      </c>
      <c r="H329" s="3" t="s">
        <v>1129</v>
      </c>
      <c r="I329" s="10" t="str">
        <f>HYPERLINK("http://dx.doi.org/10.17512/jamcm.2018.3.01","http://dx.doi.org/10.17512/jamcm.2018.3.01")</f>
        <v>http://dx.doi.org/10.17512/jamcm.2018.3.01</v>
      </c>
    </row>
    <row r="330" spans="1:9" ht="75" x14ac:dyDescent="0.25">
      <c r="A330" s="2">
        <v>327</v>
      </c>
      <c r="B330" s="3" t="s">
        <v>1130</v>
      </c>
      <c r="C330" s="3" t="s">
        <v>1131</v>
      </c>
      <c r="D330" s="3" t="s">
        <v>1132</v>
      </c>
      <c r="E330" s="2">
        <v>2018</v>
      </c>
      <c r="F330" s="3" t="s">
        <v>394</v>
      </c>
      <c r="G330" s="2" t="s">
        <v>12</v>
      </c>
      <c r="H330" s="3" t="s">
        <v>1133</v>
      </c>
      <c r="I330" s="12" t="s">
        <v>3204</v>
      </c>
    </row>
    <row r="331" spans="1:9" ht="135" x14ac:dyDescent="0.25">
      <c r="A331" s="2">
        <v>328</v>
      </c>
      <c r="B331" s="3" t="s">
        <v>1014</v>
      </c>
      <c r="C331" s="3" t="s">
        <v>1015</v>
      </c>
      <c r="D331" s="3" t="s">
        <v>1134</v>
      </c>
      <c r="E331" s="2">
        <v>2023</v>
      </c>
      <c r="F331" s="3" t="s">
        <v>504</v>
      </c>
      <c r="G331" s="2" t="s">
        <v>12</v>
      </c>
      <c r="H331" s="3" t="s">
        <v>1017</v>
      </c>
      <c r="I331" s="10" t="s">
        <v>1135</v>
      </c>
    </row>
    <row r="332" spans="1:9" ht="45" x14ac:dyDescent="0.25">
      <c r="A332" s="2">
        <v>329</v>
      </c>
      <c r="B332" s="3" t="s">
        <v>1136</v>
      </c>
      <c r="C332" s="3" t="s">
        <v>153</v>
      </c>
      <c r="D332" s="3" t="s">
        <v>1137</v>
      </c>
      <c r="E332" s="2">
        <v>2021</v>
      </c>
      <c r="F332" s="3" t="s">
        <v>261</v>
      </c>
      <c r="G332" s="2" t="s">
        <v>12</v>
      </c>
      <c r="H332" s="3" t="s">
        <v>747</v>
      </c>
      <c r="I332" s="10" t="str">
        <f>HYPERLINK("http://dx.doi.org/10.1016/j.compag.2021.106291","http://dx.doi.org/10.1016/j.compag.2021.106291")</f>
        <v>http://dx.doi.org/10.1016/j.compag.2021.106291</v>
      </c>
    </row>
    <row r="333" spans="1:9" ht="120" x14ac:dyDescent="0.25">
      <c r="A333" s="2">
        <v>330</v>
      </c>
      <c r="B333" s="3" t="s">
        <v>1115</v>
      </c>
      <c r="C333" s="3" t="s">
        <v>683</v>
      </c>
      <c r="D333" s="3" t="s">
        <v>1138</v>
      </c>
      <c r="E333" s="2">
        <v>2021</v>
      </c>
      <c r="F333" s="3" t="s">
        <v>941</v>
      </c>
      <c r="G333" s="2" t="s">
        <v>12</v>
      </c>
      <c r="H333" s="3" t="s">
        <v>48</v>
      </c>
      <c r="I333" s="10" t="str">
        <f>HYPERLINK("http://dx.doi.org/10.1007/s10854-021-05946-y","http://dx.doi.org/10.1007/s10854-021-05946-y")</f>
        <v>http://dx.doi.org/10.1007/s10854-021-05946-y</v>
      </c>
    </row>
    <row r="334" spans="1:9" ht="120" x14ac:dyDescent="0.25">
      <c r="A334" s="2">
        <v>331</v>
      </c>
      <c r="B334" s="3" t="s">
        <v>1139</v>
      </c>
      <c r="C334" s="3" t="s">
        <v>275</v>
      </c>
      <c r="D334" s="3" t="s">
        <v>1140</v>
      </c>
      <c r="E334" s="2">
        <v>2021</v>
      </c>
      <c r="F334" s="3" t="s">
        <v>559</v>
      </c>
      <c r="G334" s="2" t="s">
        <v>12</v>
      </c>
      <c r="H334" s="3" t="s">
        <v>1017</v>
      </c>
      <c r="I334" s="10" t="str">
        <f>HYPERLINK("http://dx.doi.org/10.36468/pharmaceutical-sciences.756","http://dx.doi.org/10.36468/pharmaceutical-sciences.756")</f>
        <v>http://dx.doi.org/10.36468/pharmaceutical-sciences.756</v>
      </c>
    </row>
    <row r="335" spans="1:9" ht="60" x14ac:dyDescent="0.25">
      <c r="A335" s="2">
        <v>332</v>
      </c>
      <c r="B335" s="3" t="s">
        <v>1141</v>
      </c>
      <c r="C335" s="3" t="s">
        <v>20</v>
      </c>
      <c r="D335" s="3" t="s">
        <v>1142</v>
      </c>
      <c r="E335" s="2">
        <v>2018</v>
      </c>
      <c r="F335" s="3" t="s">
        <v>524</v>
      </c>
      <c r="G335" s="2" t="s">
        <v>12</v>
      </c>
      <c r="H335" s="3" t="s">
        <v>67</v>
      </c>
      <c r="I335" s="10" t="str">
        <f>HYPERLINK("http://dx.doi.org/10.1002/jhet.3105","http://dx.doi.org/10.1002/jhet.3105")</f>
        <v>http://dx.doi.org/10.1002/jhet.3105</v>
      </c>
    </row>
    <row r="336" spans="1:9" ht="75" x14ac:dyDescent="0.25">
      <c r="A336" s="2">
        <v>333</v>
      </c>
      <c r="B336" s="3" t="s">
        <v>1143</v>
      </c>
      <c r="C336" s="3" t="s">
        <v>925</v>
      </c>
      <c r="D336" s="3" t="s">
        <v>1144</v>
      </c>
      <c r="E336" s="2">
        <v>2018</v>
      </c>
      <c r="F336" s="3" t="s">
        <v>1145</v>
      </c>
      <c r="G336" s="2" t="s">
        <v>12</v>
      </c>
      <c r="H336" s="3" t="s">
        <v>525</v>
      </c>
      <c r="I336" s="10" t="str">
        <f>HYPERLINK("http://dx.doi.org/10.1063/1.5032970","http://dx.doi.org/10.1063/1.5032970")</f>
        <v>http://dx.doi.org/10.1063/1.5032970</v>
      </c>
    </row>
    <row r="337" spans="1:9" ht="75" x14ac:dyDescent="0.25">
      <c r="A337" s="2">
        <v>334</v>
      </c>
      <c r="B337" s="3" t="s">
        <v>1146</v>
      </c>
      <c r="C337" s="3" t="s">
        <v>231</v>
      </c>
      <c r="D337" s="3" t="s">
        <v>1147</v>
      </c>
      <c r="E337" s="2">
        <v>2019</v>
      </c>
      <c r="F337" s="3" t="s">
        <v>997</v>
      </c>
      <c r="G337" s="2" t="s">
        <v>12</v>
      </c>
      <c r="H337" s="3" t="s">
        <v>58</v>
      </c>
      <c r="I337" s="10" t="str">
        <f>HYPERLINK("http://dx.doi.org/10.1039/c8ra09299k","http://dx.doi.org/10.1039/c8ra09299k")</f>
        <v>http://dx.doi.org/10.1039/c8ra09299k</v>
      </c>
    </row>
    <row r="338" spans="1:9" ht="45" x14ac:dyDescent="0.25">
      <c r="A338" s="2">
        <v>335</v>
      </c>
      <c r="B338" s="3" t="s">
        <v>1148</v>
      </c>
      <c r="C338" s="3" t="s">
        <v>1149</v>
      </c>
      <c r="D338" s="3" t="s">
        <v>1150</v>
      </c>
      <c r="E338" s="2">
        <v>2018</v>
      </c>
      <c r="F338" s="3" t="s">
        <v>261</v>
      </c>
      <c r="G338" s="2" t="s">
        <v>12</v>
      </c>
      <c r="H338" s="3" t="s">
        <v>181</v>
      </c>
      <c r="I338" s="10" t="str">
        <f>HYPERLINK("http://dx.doi.org/10.1016/j.radphyschem.2017.09.022","http://dx.doi.org/10.1016/j.radphyschem.2017.09.022")</f>
        <v>http://dx.doi.org/10.1016/j.radphyschem.2017.09.022</v>
      </c>
    </row>
    <row r="339" spans="1:9" ht="75" x14ac:dyDescent="0.25">
      <c r="A339" s="2">
        <v>336</v>
      </c>
      <c r="B339" s="3" t="s">
        <v>1151</v>
      </c>
      <c r="C339" s="3" t="s">
        <v>1152</v>
      </c>
      <c r="D339" s="3" t="s">
        <v>1153</v>
      </c>
      <c r="E339" s="2">
        <v>2020</v>
      </c>
      <c r="F339" s="3" t="s">
        <v>1154</v>
      </c>
      <c r="G339" s="2" t="s">
        <v>12</v>
      </c>
      <c r="H339" s="3" t="s">
        <v>38</v>
      </c>
      <c r="I339" s="10" t="str">
        <f>HYPERLINK("http://dx.doi.org/10.2174/1570180815666181004114125","http://dx.doi.org/10.2174/1570180815666181004114125")</f>
        <v>http://dx.doi.org/10.2174/1570180815666181004114125</v>
      </c>
    </row>
    <row r="340" spans="1:9" ht="75" x14ac:dyDescent="0.25">
      <c r="A340" s="2">
        <v>337</v>
      </c>
      <c r="B340" s="3" t="s">
        <v>1155</v>
      </c>
      <c r="C340" s="3" t="s">
        <v>1156</v>
      </c>
      <c r="D340" s="3" t="s">
        <v>1157</v>
      </c>
      <c r="E340" s="2">
        <v>2023</v>
      </c>
      <c r="F340" s="3" t="s">
        <v>504</v>
      </c>
      <c r="G340" s="2" t="s">
        <v>12</v>
      </c>
      <c r="H340" s="3" t="s">
        <v>277</v>
      </c>
      <c r="I340" s="10" t="str">
        <f>HYPERLINK("http://dx.doi.org/10.1016/j.inoche.2023.110777","http://dx.doi.org/10.1016/j.inoche.2023.110777")</f>
        <v>http://dx.doi.org/10.1016/j.inoche.2023.110777</v>
      </c>
    </row>
    <row r="341" spans="1:9" ht="60" x14ac:dyDescent="0.25">
      <c r="A341" s="2">
        <v>338</v>
      </c>
      <c r="B341" s="3" t="s">
        <v>1158</v>
      </c>
      <c r="C341" s="3" t="s">
        <v>45</v>
      </c>
      <c r="D341" s="3" t="s">
        <v>1159</v>
      </c>
      <c r="E341" s="2">
        <v>2022</v>
      </c>
      <c r="F341" s="3" t="s">
        <v>310</v>
      </c>
      <c r="G341" s="2" t="s">
        <v>12</v>
      </c>
      <c r="H341" s="3" t="s">
        <v>13</v>
      </c>
      <c r="I341" s="10" t="str">
        <f>HYPERLINK("http://dx.doi.org/10.1007/978-981-19-9307-7_41","http://dx.doi.org/10.1007/978-981-19-9307-7_41")</f>
        <v>http://dx.doi.org/10.1007/978-981-19-9307-7_41</v>
      </c>
    </row>
    <row r="342" spans="1:9" ht="165" x14ac:dyDescent="0.25">
      <c r="A342" s="2">
        <v>339</v>
      </c>
      <c r="B342" s="3" t="s">
        <v>1160</v>
      </c>
      <c r="C342" s="3" t="s">
        <v>1161</v>
      </c>
      <c r="D342" s="3" t="s">
        <v>1162</v>
      </c>
      <c r="E342" s="2">
        <v>2020</v>
      </c>
      <c r="F342" s="3" t="s">
        <v>1163</v>
      </c>
      <c r="G342" s="2" t="s">
        <v>12</v>
      </c>
      <c r="H342" s="3" t="s">
        <v>23</v>
      </c>
      <c r="I342" s="10" t="str">
        <f>HYPERLINK("http://dx.doi.org/10.1002/jssc.202000510","http://dx.doi.org/10.1002/jssc.202000510")</f>
        <v>http://dx.doi.org/10.1002/jssc.202000510</v>
      </c>
    </row>
    <row r="343" spans="1:9" ht="105" x14ac:dyDescent="0.25">
      <c r="A343" s="2">
        <v>340</v>
      </c>
      <c r="B343" s="3" t="s">
        <v>1164</v>
      </c>
      <c r="C343" s="3" t="s">
        <v>1165</v>
      </c>
      <c r="D343" s="3" t="s">
        <v>1166</v>
      </c>
      <c r="E343" s="2">
        <v>2020</v>
      </c>
      <c r="F343" s="3" t="s">
        <v>1167</v>
      </c>
      <c r="G343" s="2" t="s">
        <v>12</v>
      </c>
      <c r="H343" s="3" t="s">
        <v>91</v>
      </c>
      <c r="I343" s="10" t="str">
        <f>HYPERLINK("http://dx.doi.org/10.1080/10406638.2018.1533875","http://dx.doi.org/10.1080/10406638.2018.1533875")</f>
        <v>http://dx.doi.org/10.1080/10406638.2018.1533875</v>
      </c>
    </row>
    <row r="344" spans="1:9" ht="45" x14ac:dyDescent="0.25">
      <c r="A344" s="2">
        <v>341</v>
      </c>
      <c r="B344" s="3" t="s">
        <v>1168</v>
      </c>
      <c r="C344" s="3" t="s">
        <v>60</v>
      </c>
      <c r="D344" s="3" t="s">
        <v>1169</v>
      </c>
      <c r="E344" s="2">
        <v>2019</v>
      </c>
      <c r="F344" s="3" t="s">
        <v>399</v>
      </c>
      <c r="G344" s="2" t="s">
        <v>12</v>
      </c>
      <c r="H344" s="3" t="s">
        <v>18</v>
      </c>
      <c r="I344" s="10" t="str">
        <f>HYPERLINK("http://dx.doi.org/10.1007/978-3-030-30930-5_15","http://dx.doi.org/10.1007/978-3-030-30930-5_15")</f>
        <v>http://dx.doi.org/10.1007/978-3-030-30930-5_15</v>
      </c>
    </row>
    <row r="345" spans="1:9" ht="105" x14ac:dyDescent="0.25">
      <c r="A345" s="2">
        <v>342</v>
      </c>
      <c r="B345" s="3" t="s">
        <v>1170</v>
      </c>
      <c r="C345" s="3" t="s">
        <v>961</v>
      </c>
      <c r="D345" s="3" t="s">
        <v>1171</v>
      </c>
      <c r="E345" s="2">
        <v>2018</v>
      </c>
      <c r="F345" s="3" t="s">
        <v>898</v>
      </c>
      <c r="G345" s="2" t="s">
        <v>12</v>
      </c>
      <c r="H345" s="3" t="s">
        <v>48</v>
      </c>
      <c r="I345" s="10" t="str">
        <f>HYPERLINK("http://dx.doi.org/10.1007/s11164-018-3541-7","http://dx.doi.org/10.1007/s11164-018-3541-7")</f>
        <v>http://dx.doi.org/10.1007/s11164-018-3541-7</v>
      </c>
    </row>
    <row r="346" spans="1:9" ht="90" x14ac:dyDescent="0.25">
      <c r="A346" s="2">
        <v>343</v>
      </c>
      <c r="B346" s="3" t="s">
        <v>1172</v>
      </c>
      <c r="C346" s="3" t="s">
        <v>412</v>
      </c>
      <c r="D346" s="3" t="s">
        <v>1173</v>
      </c>
      <c r="E346" s="2">
        <v>2023</v>
      </c>
      <c r="F346" s="3" t="s">
        <v>1174</v>
      </c>
      <c r="G346" s="2" t="s">
        <v>12</v>
      </c>
      <c r="H346" s="3" t="s">
        <v>58</v>
      </c>
      <c r="I346" s="10" t="str">
        <f>HYPERLINK("http://dx.doi.org/10.1039/d3ra04286c","http://dx.doi.org/10.1039/d3ra04286c")</f>
        <v>http://dx.doi.org/10.1039/d3ra04286c</v>
      </c>
    </row>
    <row r="347" spans="1:9" ht="90" x14ac:dyDescent="0.25">
      <c r="A347" s="2">
        <v>344</v>
      </c>
      <c r="B347" s="3" t="s">
        <v>1175</v>
      </c>
      <c r="C347" s="3" t="s">
        <v>890</v>
      </c>
      <c r="D347" s="3" t="s">
        <v>1176</v>
      </c>
      <c r="E347" s="2">
        <v>2023</v>
      </c>
      <c r="F347" s="3" t="s">
        <v>1174</v>
      </c>
      <c r="G347" s="2" t="s">
        <v>12</v>
      </c>
      <c r="H347" s="3" t="s">
        <v>1177</v>
      </c>
      <c r="I347" s="10" t="str">
        <f>HYPERLINK("http://dx.doi.org/10.1089/mdr.2022.0119","http://dx.doi.org/10.1089/mdr.2022.0119")</f>
        <v>http://dx.doi.org/10.1089/mdr.2022.0119</v>
      </c>
    </row>
    <row r="348" spans="1:9" ht="90" x14ac:dyDescent="0.25">
      <c r="A348" s="2">
        <v>345</v>
      </c>
      <c r="B348" s="3" t="s">
        <v>1178</v>
      </c>
      <c r="C348" s="3" t="s">
        <v>1152</v>
      </c>
      <c r="D348" s="3" t="s">
        <v>1179</v>
      </c>
      <c r="E348" s="2">
        <v>2019</v>
      </c>
      <c r="F348" s="3" t="s">
        <v>1180</v>
      </c>
      <c r="G348" s="2" t="s">
        <v>12</v>
      </c>
      <c r="H348" s="3" t="s">
        <v>28</v>
      </c>
      <c r="I348" s="10" t="str">
        <f>HYPERLINK("http://dx.doi.org/10.1021/acsomega.8b03587","http://dx.doi.org/10.1021/acsomega.8b03587")</f>
        <v>http://dx.doi.org/10.1021/acsomega.8b03587</v>
      </c>
    </row>
    <row r="349" spans="1:9" ht="60" x14ac:dyDescent="0.25">
      <c r="A349" s="2">
        <v>346</v>
      </c>
      <c r="B349" s="3" t="s">
        <v>1181</v>
      </c>
      <c r="C349" s="3" t="s">
        <v>1182</v>
      </c>
      <c r="D349" s="3" t="s">
        <v>1183</v>
      </c>
      <c r="E349" s="2">
        <v>2023</v>
      </c>
      <c r="F349" s="3" t="s">
        <v>898</v>
      </c>
      <c r="G349" s="2" t="s">
        <v>12</v>
      </c>
      <c r="H349" s="3" t="s">
        <v>1184</v>
      </c>
      <c r="I349" s="10" t="str">
        <f>HYPERLINK("http://dx.doi.org/10.5206/mase/16387","http://dx.doi.org/10.5206/mase/16387")</f>
        <v>http://dx.doi.org/10.5206/mase/16387</v>
      </c>
    </row>
    <row r="350" spans="1:9" ht="60" x14ac:dyDescent="0.25">
      <c r="A350" s="2">
        <v>347</v>
      </c>
      <c r="B350" s="3" t="s">
        <v>1185</v>
      </c>
      <c r="C350" s="3" t="s">
        <v>60</v>
      </c>
      <c r="D350" s="3" t="s">
        <v>1186</v>
      </c>
      <c r="E350" s="2">
        <v>2018</v>
      </c>
      <c r="F350" s="3" t="s">
        <v>37</v>
      </c>
      <c r="G350" s="2" t="s">
        <v>12</v>
      </c>
      <c r="H350" s="3" t="s">
        <v>698</v>
      </c>
      <c r="I350" s="10" t="str">
        <f>HYPERLINK("http://dx.doi.org/10.1134/S0036024418070191","http://dx.doi.org/10.1134/S0036024418070191")</f>
        <v>http://dx.doi.org/10.1134/S0036024418070191</v>
      </c>
    </row>
    <row r="351" spans="1:9" ht="120" x14ac:dyDescent="0.25">
      <c r="A351" s="2">
        <v>348</v>
      </c>
      <c r="B351" s="3" t="s">
        <v>1187</v>
      </c>
      <c r="C351" s="3" t="s">
        <v>45</v>
      </c>
      <c r="D351" s="3" t="s">
        <v>1188</v>
      </c>
      <c r="E351" s="2">
        <v>2018</v>
      </c>
      <c r="F351" s="3" t="s">
        <v>1189</v>
      </c>
      <c r="G351" s="2" t="s">
        <v>12</v>
      </c>
      <c r="H351" s="3" t="s">
        <v>205</v>
      </c>
      <c r="I351" s="10" t="str">
        <f>HYPERLINK("http://dx.doi.org/10.1080/00397911.2017.1421665","http://dx.doi.org/10.1080/00397911.2017.1421665")</f>
        <v>http://dx.doi.org/10.1080/00397911.2017.1421665</v>
      </c>
    </row>
    <row r="352" spans="1:9" ht="75" x14ac:dyDescent="0.25">
      <c r="A352" s="2">
        <v>349</v>
      </c>
      <c r="B352" s="3" t="s">
        <v>1190</v>
      </c>
      <c r="C352" s="3" t="s">
        <v>1191</v>
      </c>
      <c r="D352" s="3" t="s">
        <v>1192</v>
      </c>
      <c r="E352" s="2">
        <v>2021</v>
      </c>
      <c r="F352" s="3" t="s">
        <v>504</v>
      </c>
      <c r="G352" s="2" t="s">
        <v>12</v>
      </c>
      <c r="H352" s="3" t="s">
        <v>747</v>
      </c>
      <c r="I352" s="10" t="str">
        <f>HYPERLINK("http://dx.doi.org/10.1016/j.ceramint.2021.07.021","http://dx.doi.org/10.1016/j.ceramint.2021.07.021")</f>
        <v>http://dx.doi.org/10.1016/j.ceramint.2021.07.021</v>
      </c>
    </row>
    <row r="353" spans="1:9" ht="60" x14ac:dyDescent="0.25">
      <c r="A353" s="2">
        <v>350</v>
      </c>
      <c r="B353" s="3" t="s">
        <v>293</v>
      </c>
      <c r="C353" s="3" t="s">
        <v>192</v>
      </c>
      <c r="D353" s="3" t="s">
        <v>1193</v>
      </c>
      <c r="E353" s="2">
        <v>2021</v>
      </c>
      <c r="F353" s="3" t="s">
        <v>1194</v>
      </c>
      <c r="G353" s="2" t="s">
        <v>12</v>
      </c>
      <c r="H353" s="3" t="s">
        <v>632</v>
      </c>
      <c r="I353" s="10" t="str">
        <f>HYPERLINK("http://dx.doi.org/10.22075/ijnaa.2018.13488.1698","http://dx.doi.org/10.22075/ijnaa.2018.13488.1698")</f>
        <v>http://dx.doi.org/10.22075/ijnaa.2018.13488.1698</v>
      </c>
    </row>
    <row r="354" spans="1:9" ht="90" x14ac:dyDescent="0.25">
      <c r="A354" s="2">
        <v>351</v>
      </c>
      <c r="B354" s="3" t="s">
        <v>1195</v>
      </c>
      <c r="C354" s="3" t="s">
        <v>1196</v>
      </c>
      <c r="D354" s="3" t="s">
        <v>1197</v>
      </c>
      <c r="E354" s="2">
        <v>2018</v>
      </c>
      <c r="F354" s="3" t="s">
        <v>744</v>
      </c>
      <c r="G354" s="2" t="s">
        <v>12</v>
      </c>
      <c r="H354" s="3" t="s">
        <v>1198</v>
      </c>
      <c r="I354" s="12" t="s">
        <v>3204</v>
      </c>
    </row>
    <row r="355" spans="1:9" ht="45" x14ac:dyDescent="0.25">
      <c r="A355" s="2">
        <v>352</v>
      </c>
      <c r="B355" s="3" t="s">
        <v>1143</v>
      </c>
      <c r="C355" s="3" t="s">
        <v>211</v>
      </c>
      <c r="D355" s="3" t="s">
        <v>1199</v>
      </c>
      <c r="E355" s="2">
        <v>2018</v>
      </c>
      <c r="F355" s="3" t="s">
        <v>1200</v>
      </c>
      <c r="G355" s="2" t="s">
        <v>12</v>
      </c>
      <c r="H355" s="3" t="s">
        <v>84</v>
      </c>
      <c r="I355" s="10" t="str">
        <f>HYPERLINK("http://dx.doi.org/10.1142/S0217979218400428","http://dx.doi.org/10.1142/S0217979218400428")</f>
        <v>http://dx.doi.org/10.1142/S0217979218400428</v>
      </c>
    </row>
    <row r="356" spans="1:9" ht="90" x14ac:dyDescent="0.25">
      <c r="A356" s="2">
        <v>353</v>
      </c>
      <c r="B356" s="3" t="s">
        <v>1049</v>
      </c>
      <c r="C356" s="3" t="s">
        <v>81</v>
      </c>
      <c r="D356" s="3" t="s">
        <v>1201</v>
      </c>
      <c r="E356" s="2">
        <v>2021</v>
      </c>
      <c r="F356" s="3" t="s">
        <v>504</v>
      </c>
      <c r="G356" s="2" t="s">
        <v>12</v>
      </c>
      <c r="H356" s="3" t="s">
        <v>1202</v>
      </c>
      <c r="I356" s="10" t="str">
        <f>HYPERLINK("http://dx.doi.org/10.1016/j.jelechem.2021.114983","http://dx.doi.org/10.1016/j.jelechem.2021.114983")</f>
        <v>http://dx.doi.org/10.1016/j.jelechem.2021.114983</v>
      </c>
    </row>
    <row r="357" spans="1:9" ht="45" x14ac:dyDescent="0.25">
      <c r="A357" s="2">
        <v>354</v>
      </c>
      <c r="B357" s="3" t="s">
        <v>1203</v>
      </c>
      <c r="C357" s="3" t="s">
        <v>588</v>
      </c>
      <c r="D357" s="3" t="s">
        <v>1204</v>
      </c>
      <c r="E357" s="2">
        <v>2019</v>
      </c>
      <c r="F357" s="3" t="s">
        <v>582</v>
      </c>
      <c r="G357" s="2" t="s">
        <v>12</v>
      </c>
      <c r="H357" s="3" t="s">
        <v>18</v>
      </c>
      <c r="I357" s="10" t="str">
        <f>HYPERLINK("http://dx.doi.org/10.1007/978-3-030-30930-5_10","http://dx.doi.org/10.1007/978-3-030-30930-5_10")</f>
        <v>http://dx.doi.org/10.1007/978-3-030-30930-5_10</v>
      </c>
    </row>
    <row r="358" spans="1:9" ht="75" x14ac:dyDescent="0.25">
      <c r="A358" s="2">
        <v>355</v>
      </c>
      <c r="B358" s="3" t="s">
        <v>1205</v>
      </c>
      <c r="C358" s="3" t="s">
        <v>1206</v>
      </c>
      <c r="D358" s="3" t="s">
        <v>1207</v>
      </c>
      <c r="E358" s="2">
        <v>2018</v>
      </c>
      <c r="F358" s="3" t="s">
        <v>941</v>
      </c>
      <c r="G358" s="2" t="s">
        <v>12</v>
      </c>
      <c r="H358" s="3" t="s">
        <v>160</v>
      </c>
      <c r="I358" s="10" t="str">
        <f>HYPERLINK("http://dx.doi.org/10.12941/jksiam.2018.22.163","http://dx.doi.org/10.12941/jksiam.2018.22.163")</f>
        <v>http://dx.doi.org/10.12941/jksiam.2018.22.163</v>
      </c>
    </row>
    <row r="359" spans="1:9" ht="90" x14ac:dyDescent="0.25">
      <c r="A359" s="2">
        <v>356</v>
      </c>
      <c r="B359" s="3" t="s">
        <v>246</v>
      </c>
      <c r="C359" s="3" t="s">
        <v>1056</v>
      </c>
      <c r="D359" s="3" t="s">
        <v>1208</v>
      </c>
      <c r="E359" s="2">
        <v>2018</v>
      </c>
      <c r="F359" s="3" t="s">
        <v>261</v>
      </c>
      <c r="G359" s="2" t="s">
        <v>12</v>
      </c>
      <c r="H359" s="3" t="s">
        <v>729</v>
      </c>
      <c r="I359" s="10" t="str">
        <f>HYPERLINK("http://dx.doi.org/10.15393/j3.art.2018.4350","http://dx.doi.org/10.15393/j3.art.2018.4350")</f>
        <v>http://dx.doi.org/10.15393/j3.art.2018.4350</v>
      </c>
    </row>
    <row r="360" spans="1:9" ht="90" x14ac:dyDescent="0.25">
      <c r="A360" s="2">
        <v>357</v>
      </c>
      <c r="B360" s="3" t="s">
        <v>819</v>
      </c>
      <c r="C360" s="3" t="s">
        <v>56</v>
      </c>
      <c r="D360" s="3" t="s">
        <v>1209</v>
      </c>
      <c r="E360" s="2">
        <v>2022</v>
      </c>
      <c r="F360" s="3" t="s">
        <v>1210</v>
      </c>
      <c r="G360" s="2" t="s">
        <v>12</v>
      </c>
      <c r="H360" s="3" t="s">
        <v>288</v>
      </c>
      <c r="I360" s="10" t="str">
        <f>HYPERLINK("http://dx.doi.org/10.1080/23311975.2022.2114305","http://dx.doi.org/10.1080/23311975.2022.2114305")</f>
        <v>http://dx.doi.org/10.1080/23311975.2022.2114305</v>
      </c>
    </row>
    <row r="361" spans="1:9" ht="60" x14ac:dyDescent="0.25">
      <c r="A361" s="2">
        <v>358</v>
      </c>
      <c r="B361" s="3" t="s">
        <v>1211</v>
      </c>
      <c r="C361" s="3" t="s">
        <v>1212</v>
      </c>
      <c r="D361" s="3" t="s">
        <v>1213</v>
      </c>
      <c r="E361" s="2">
        <v>2021</v>
      </c>
      <c r="F361" s="3" t="s">
        <v>1097</v>
      </c>
      <c r="G361" s="2" t="s">
        <v>12</v>
      </c>
      <c r="H361" s="3" t="s">
        <v>23</v>
      </c>
      <c r="I361" s="10" t="str">
        <f>HYPERLINK("http://dx.doi.org/10.1002/slct.202003910","http://dx.doi.org/10.1002/slct.202003910")</f>
        <v>http://dx.doi.org/10.1002/slct.202003910</v>
      </c>
    </row>
    <row r="362" spans="1:9" ht="75" x14ac:dyDescent="0.25">
      <c r="A362" s="2">
        <v>359</v>
      </c>
      <c r="B362" s="3" t="s">
        <v>1214</v>
      </c>
      <c r="C362" s="3" t="s">
        <v>192</v>
      </c>
      <c r="D362" s="3" t="s">
        <v>1215</v>
      </c>
      <c r="E362" s="2">
        <v>2021</v>
      </c>
      <c r="F362" s="3" t="s">
        <v>313</v>
      </c>
      <c r="G362" s="2" t="s">
        <v>12</v>
      </c>
      <c r="H362" s="3" t="s">
        <v>277</v>
      </c>
      <c r="I362" s="10" t="str">
        <f>HYPERLINK("http://dx.doi.org/10.1016/j.matpr.2021.02.324","http://dx.doi.org/10.1016/j.matpr.2021.02.324")</f>
        <v>http://dx.doi.org/10.1016/j.matpr.2021.02.324</v>
      </c>
    </row>
    <row r="363" spans="1:9" ht="75" x14ac:dyDescent="0.25">
      <c r="A363" s="2">
        <v>360</v>
      </c>
      <c r="B363" s="3" t="s">
        <v>1216</v>
      </c>
      <c r="C363" s="3" t="s">
        <v>153</v>
      </c>
      <c r="D363" s="3" t="s">
        <v>1217</v>
      </c>
      <c r="E363" s="2">
        <v>2021</v>
      </c>
      <c r="F363" s="3" t="s">
        <v>1218</v>
      </c>
      <c r="G363" s="2" t="s">
        <v>12</v>
      </c>
      <c r="H363" s="3" t="s">
        <v>245</v>
      </c>
      <c r="I363" s="10" t="str">
        <f>HYPERLINK("http://dx.doi.org/10.24193/subbmath.2021.3.09","http://dx.doi.org/10.24193/subbmath.2021.3.09")</f>
        <v>http://dx.doi.org/10.24193/subbmath.2021.3.09</v>
      </c>
    </row>
    <row r="364" spans="1:9" ht="90" x14ac:dyDescent="0.25">
      <c r="A364" s="2">
        <v>361</v>
      </c>
      <c r="B364" s="3" t="s">
        <v>1219</v>
      </c>
      <c r="C364" s="3" t="s">
        <v>1220</v>
      </c>
      <c r="D364" s="3" t="s">
        <v>1221</v>
      </c>
      <c r="E364" s="2">
        <v>2019</v>
      </c>
      <c r="F364" s="3" t="s">
        <v>559</v>
      </c>
      <c r="G364" s="2" t="s">
        <v>12</v>
      </c>
      <c r="H364" s="3" t="s">
        <v>686</v>
      </c>
      <c r="I364" s="10" t="str">
        <f>HYPERLINK("http://dx.doi.org/10.1016/j.jnoncrysol.2019.02.004","http://dx.doi.org/10.1016/j.jnoncrysol.2019.02.004")</f>
        <v>http://dx.doi.org/10.1016/j.jnoncrysol.2019.02.004</v>
      </c>
    </row>
    <row r="365" spans="1:9" ht="105" x14ac:dyDescent="0.25">
      <c r="A365" s="2">
        <v>362</v>
      </c>
      <c r="B365" s="3" t="s">
        <v>1222</v>
      </c>
      <c r="C365" s="3" t="s">
        <v>1223</v>
      </c>
      <c r="D365" s="3" t="s">
        <v>1224</v>
      </c>
      <c r="E365" s="2">
        <v>2021</v>
      </c>
      <c r="F365" s="3" t="s">
        <v>1044</v>
      </c>
      <c r="G365" s="2" t="s">
        <v>12</v>
      </c>
      <c r="H365" s="3" t="s">
        <v>439</v>
      </c>
      <c r="I365" s="10" t="str">
        <f>HYPERLINK("http://dx.doi.org/10.1007/s00339-021-04603-9","http://dx.doi.org/10.1007/s00339-021-04603-9")</f>
        <v>http://dx.doi.org/10.1007/s00339-021-04603-9</v>
      </c>
    </row>
    <row r="366" spans="1:9" ht="60" x14ac:dyDescent="0.25">
      <c r="A366" s="2">
        <v>363</v>
      </c>
      <c r="B366" s="3" t="s">
        <v>1225</v>
      </c>
      <c r="C366" s="3" t="s">
        <v>1226</v>
      </c>
      <c r="D366" s="3" t="s">
        <v>1227</v>
      </c>
      <c r="E366" s="2">
        <v>2020</v>
      </c>
      <c r="F366" s="3" t="s">
        <v>333</v>
      </c>
      <c r="G366" s="2" t="s">
        <v>12</v>
      </c>
      <c r="H366" s="3" t="s">
        <v>277</v>
      </c>
      <c r="I366" s="10" t="str">
        <f>HYPERLINK("http://dx.doi.org/10.1016/j.cplett.2020.137240","http://dx.doi.org/10.1016/j.cplett.2020.137240")</f>
        <v>http://dx.doi.org/10.1016/j.cplett.2020.137240</v>
      </c>
    </row>
    <row r="367" spans="1:9" ht="90" x14ac:dyDescent="0.25">
      <c r="A367" s="2">
        <v>364</v>
      </c>
      <c r="B367" s="3" t="s">
        <v>1228</v>
      </c>
      <c r="C367" s="3" t="s">
        <v>433</v>
      </c>
      <c r="D367" s="3" t="s">
        <v>1229</v>
      </c>
      <c r="E367" s="2">
        <v>2020</v>
      </c>
      <c r="F367" s="3" t="s">
        <v>325</v>
      </c>
      <c r="G367" s="2" t="s">
        <v>12</v>
      </c>
      <c r="H367" s="3" t="s">
        <v>48</v>
      </c>
      <c r="I367" s="10" t="str">
        <f>HYPERLINK("http://dx.doi.org/10.1007/s11164-019-03987-x","http://dx.doi.org/10.1007/s11164-019-03987-x")</f>
        <v>http://dx.doi.org/10.1007/s11164-019-03987-x</v>
      </c>
    </row>
    <row r="368" spans="1:9" ht="60" x14ac:dyDescent="0.25">
      <c r="A368" s="2">
        <v>365</v>
      </c>
      <c r="B368" s="3" t="s">
        <v>246</v>
      </c>
      <c r="C368" s="3" t="s">
        <v>961</v>
      </c>
      <c r="D368" s="3" t="s">
        <v>1230</v>
      </c>
      <c r="E368" s="2">
        <v>2019</v>
      </c>
      <c r="F368" s="3" t="s">
        <v>559</v>
      </c>
      <c r="G368" s="2" t="s">
        <v>12</v>
      </c>
      <c r="H368" s="3" t="s">
        <v>1231</v>
      </c>
      <c r="I368" s="10" t="str">
        <f>HYPERLINK("http://dx.doi.org/10.22059/jcamech.2019.275882.359","http://dx.doi.org/10.22059/jcamech.2019.275882.359")</f>
        <v>http://dx.doi.org/10.22059/jcamech.2019.275882.359</v>
      </c>
    </row>
    <row r="369" spans="1:9" ht="90" x14ac:dyDescent="0.25">
      <c r="A369" s="2">
        <v>366</v>
      </c>
      <c r="B369" s="3" t="s">
        <v>1232</v>
      </c>
      <c r="C369" s="3" t="s">
        <v>1233</v>
      </c>
      <c r="D369" s="3" t="s">
        <v>1234</v>
      </c>
      <c r="E369" s="2">
        <v>2018</v>
      </c>
      <c r="F369" s="3" t="s">
        <v>22</v>
      </c>
      <c r="G369" s="2" t="s">
        <v>12</v>
      </c>
      <c r="H369" s="3" t="s">
        <v>277</v>
      </c>
      <c r="I369" s="10" t="str">
        <f>HYPERLINK("http://dx.doi.org/10.1016/j.physb.2018.08.007","http://dx.doi.org/10.1016/j.physb.2018.08.007")</f>
        <v>http://dx.doi.org/10.1016/j.physb.2018.08.007</v>
      </c>
    </row>
    <row r="370" spans="1:9" ht="105" x14ac:dyDescent="0.25">
      <c r="A370" s="2">
        <v>367</v>
      </c>
      <c r="B370" s="3" t="s">
        <v>1235</v>
      </c>
      <c r="C370" s="3" t="s">
        <v>1233</v>
      </c>
      <c r="D370" s="3" t="s">
        <v>1236</v>
      </c>
      <c r="E370" s="2">
        <v>2018</v>
      </c>
      <c r="F370" s="3" t="s">
        <v>941</v>
      </c>
      <c r="G370" s="2" t="s">
        <v>12</v>
      </c>
      <c r="H370" s="3" t="s">
        <v>67</v>
      </c>
      <c r="I370" s="10" t="str">
        <f>HYPERLINK("http://dx.doi.org/10.1002/jhet.3286","http://dx.doi.org/10.1002/jhet.3286")</f>
        <v>http://dx.doi.org/10.1002/jhet.3286</v>
      </c>
    </row>
    <row r="371" spans="1:9" ht="90" x14ac:dyDescent="0.25">
      <c r="A371" s="2">
        <v>368</v>
      </c>
      <c r="B371" s="3" t="s">
        <v>1237</v>
      </c>
      <c r="C371" s="3" t="s">
        <v>1238</v>
      </c>
      <c r="D371" s="3" t="s">
        <v>1239</v>
      </c>
      <c r="E371" s="2">
        <v>2020</v>
      </c>
      <c r="F371" s="3" t="s">
        <v>582</v>
      </c>
      <c r="G371" s="2" t="s">
        <v>12</v>
      </c>
      <c r="H371" s="3" t="s">
        <v>747</v>
      </c>
      <c r="I371" s="10" t="str">
        <f>HYPERLINK("http://dx.doi.org/10.1016/j.ceramint.2020.07.029","http://dx.doi.org/10.1016/j.ceramint.2020.07.029")</f>
        <v>http://dx.doi.org/10.1016/j.ceramint.2020.07.029</v>
      </c>
    </row>
    <row r="372" spans="1:9" ht="60" x14ac:dyDescent="0.25">
      <c r="A372" s="2">
        <v>369</v>
      </c>
      <c r="B372" s="3" t="s">
        <v>1240</v>
      </c>
      <c r="C372" s="3" t="s">
        <v>961</v>
      </c>
      <c r="D372" s="3" t="s">
        <v>1241</v>
      </c>
      <c r="E372" s="2">
        <v>2020</v>
      </c>
      <c r="F372" s="3" t="s">
        <v>524</v>
      </c>
      <c r="G372" s="2" t="s">
        <v>12</v>
      </c>
      <c r="H372" s="3" t="s">
        <v>277</v>
      </c>
      <c r="I372" s="10" t="str">
        <f>HYPERLINK("http://dx.doi.org/10.1016/j.arabjc.2020.01.019","http://dx.doi.org/10.1016/j.arabjc.2020.01.019")</f>
        <v>http://dx.doi.org/10.1016/j.arabjc.2020.01.019</v>
      </c>
    </row>
    <row r="373" spans="1:9" ht="90" x14ac:dyDescent="0.25">
      <c r="A373" s="2">
        <v>370</v>
      </c>
      <c r="B373" s="3" t="s">
        <v>1242</v>
      </c>
      <c r="C373" s="3" t="s">
        <v>964</v>
      </c>
      <c r="D373" s="3" t="s">
        <v>1243</v>
      </c>
      <c r="E373" s="2">
        <v>2020</v>
      </c>
      <c r="F373" s="3" t="s">
        <v>1244</v>
      </c>
      <c r="G373" s="2" t="s">
        <v>12</v>
      </c>
      <c r="H373" s="3" t="s">
        <v>966</v>
      </c>
      <c r="I373" s="10" t="s">
        <v>1245</v>
      </c>
    </row>
    <row r="374" spans="1:9" ht="75" x14ac:dyDescent="0.25">
      <c r="A374" s="2">
        <v>371</v>
      </c>
      <c r="B374" s="3" t="s">
        <v>1246</v>
      </c>
      <c r="C374" s="3" t="s">
        <v>1247</v>
      </c>
      <c r="D374" s="3" t="s">
        <v>1248</v>
      </c>
      <c r="E374" s="2">
        <v>2019</v>
      </c>
      <c r="F374" s="3" t="s">
        <v>1249</v>
      </c>
      <c r="G374" s="2" t="s">
        <v>12</v>
      </c>
      <c r="H374" s="3" t="s">
        <v>439</v>
      </c>
      <c r="I374" s="10" t="str">
        <f>HYPERLINK("http://dx.doi.org/10.1007/s00339-019-2768-5","http://dx.doi.org/10.1007/s00339-019-2768-5")</f>
        <v>http://dx.doi.org/10.1007/s00339-019-2768-5</v>
      </c>
    </row>
    <row r="375" spans="1:9" ht="60" x14ac:dyDescent="0.25">
      <c r="A375" s="2">
        <v>372</v>
      </c>
      <c r="B375" s="3" t="s">
        <v>1250</v>
      </c>
      <c r="C375" s="3" t="s">
        <v>192</v>
      </c>
      <c r="D375" s="3" t="s">
        <v>1251</v>
      </c>
      <c r="E375" s="2">
        <v>2018</v>
      </c>
      <c r="F375" s="3" t="s">
        <v>1252</v>
      </c>
      <c r="G375" s="2" t="s">
        <v>12</v>
      </c>
      <c r="H375" s="3" t="s">
        <v>48</v>
      </c>
      <c r="I375" s="10" t="str">
        <f>HYPERLINK("http://dx.doi.org/10.1007/s10904-018-0825-8","http://dx.doi.org/10.1007/s10904-018-0825-8")</f>
        <v>http://dx.doi.org/10.1007/s10904-018-0825-8</v>
      </c>
    </row>
    <row r="376" spans="1:9" ht="120" x14ac:dyDescent="0.25">
      <c r="A376" s="2">
        <v>373</v>
      </c>
      <c r="B376" s="3" t="s">
        <v>1253</v>
      </c>
      <c r="C376" s="3" t="s">
        <v>1254</v>
      </c>
      <c r="D376" s="3" t="s">
        <v>1255</v>
      </c>
      <c r="E376" s="2">
        <v>2018</v>
      </c>
      <c r="F376" s="3" t="s">
        <v>333</v>
      </c>
      <c r="G376" s="2" t="s">
        <v>12</v>
      </c>
      <c r="H376" s="3" t="s">
        <v>67</v>
      </c>
      <c r="I376" s="10" t="str">
        <f>HYPERLINK("http://dx.doi.org/10.1002/jhet.3206","http://dx.doi.org/10.1002/jhet.3206")</f>
        <v>http://dx.doi.org/10.1002/jhet.3206</v>
      </c>
    </row>
    <row r="377" spans="1:9" ht="105" x14ac:dyDescent="0.25">
      <c r="A377" s="2">
        <v>374</v>
      </c>
      <c r="B377" s="3" t="s">
        <v>1256</v>
      </c>
      <c r="C377" s="3" t="s">
        <v>805</v>
      </c>
      <c r="D377" s="3" t="s">
        <v>1257</v>
      </c>
      <c r="E377" s="2">
        <v>2018</v>
      </c>
      <c r="F377" s="3" t="s">
        <v>504</v>
      </c>
      <c r="G377" s="2" t="s">
        <v>12</v>
      </c>
      <c r="H377" s="3" t="s">
        <v>48</v>
      </c>
      <c r="I377" s="10" t="str">
        <f>HYPERLINK("http://dx.doi.org/10.1007/s11164-017-3157-3","http://dx.doi.org/10.1007/s11164-017-3157-3")</f>
        <v>http://dx.doi.org/10.1007/s11164-017-3157-3</v>
      </c>
    </row>
    <row r="378" spans="1:9" ht="75" x14ac:dyDescent="0.25">
      <c r="A378" s="2">
        <v>375</v>
      </c>
      <c r="B378" s="3" t="s">
        <v>1258</v>
      </c>
      <c r="C378" s="3" t="s">
        <v>1259</v>
      </c>
      <c r="D378" s="3" t="s">
        <v>1260</v>
      </c>
      <c r="E378" s="2">
        <v>2018</v>
      </c>
      <c r="F378" s="3" t="s">
        <v>1261</v>
      </c>
      <c r="G378" s="2" t="s">
        <v>12</v>
      </c>
      <c r="H378" s="3" t="s">
        <v>72</v>
      </c>
      <c r="I378" s="10" t="s">
        <v>1262</v>
      </c>
    </row>
    <row r="379" spans="1:9" ht="105" x14ac:dyDescent="0.25">
      <c r="A379" s="2">
        <v>376</v>
      </c>
      <c r="B379" s="3" t="s">
        <v>1263</v>
      </c>
      <c r="C379" s="3" t="s">
        <v>192</v>
      </c>
      <c r="D379" s="3" t="s">
        <v>1264</v>
      </c>
      <c r="E379" s="2">
        <v>2021</v>
      </c>
      <c r="F379" s="3" t="s">
        <v>545</v>
      </c>
      <c r="G379" s="2" t="s">
        <v>12</v>
      </c>
      <c r="H379" s="3" t="s">
        <v>205</v>
      </c>
      <c r="I379" s="10" t="str">
        <f>HYPERLINK("http://dx.doi.org/10.1080/00397911.2021.1939060","http://dx.doi.org/10.1080/00397911.2021.1939060")</f>
        <v>http://dx.doi.org/10.1080/00397911.2021.1939060</v>
      </c>
    </row>
    <row r="380" spans="1:9" ht="60" x14ac:dyDescent="0.25">
      <c r="A380" s="2">
        <v>377</v>
      </c>
      <c r="B380" s="3" t="s">
        <v>1265</v>
      </c>
      <c r="C380" s="3" t="s">
        <v>317</v>
      </c>
      <c r="D380" s="3" t="s">
        <v>1266</v>
      </c>
      <c r="E380" s="2">
        <v>2021</v>
      </c>
      <c r="F380" s="3" t="s">
        <v>325</v>
      </c>
      <c r="G380" s="2" t="s">
        <v>12</v>
      </c>
      <c r="H380" s="3" t="s">
        <v>799</v>
      </c>
      <c r="I380" s="10" t="str">
        <f>HYPERLINK("http://dx.doi.org/10.3390/app11094176","http://dx.doi.org/10.3390/app11094176")</f>
        <v>http://dx.doi.org/10.3390/app11094176</v>
      </c>
    </row>
    <row r="381" spans="1:9" ht="75" x14ac:dyDescent="0.25">
      <c r="A381" s="2">
        <v>378</v>
      </c>
      <c r="B381" s="3" t="s">
        <v>1267</v>
      </c>
      <c r="C381" s="3" t="s">
        <v>211</v>
      </c>
      <c r="D381" s="3" t="s">
        <v>1268</v>
      </c>
      <c r="E381" s="2">
        <v>2020</v>
      </c>
      <c r="F381" s="3" t="s">
        <v>1269</v>
      </c>
      <c r="G381" s="2" t="s">
        <v>12</v>
      </c>
      <c r="H381" s="3" t="s">
        <v>48</v>
      </c>
      <c r="I381" s="10" t="str">
        <f>HYPERLINK("http://dx.doi.org/10.1007/s10854-020-04500-6","http://dx.doi.org/10.1007/s10854-020-04500-6")</f>
        <v>http://dx.doi.org/10.1007/s10854-020-04500-6</v>
      </c>
    </row>
    <row r="382" spans="1:9" ht="90" x14ac:dyDescent="0.25">
      <c r="A382" s="2">
        <v>379</v>
      </c>
      <c r="B382" s="3" t="s">
        <v>1270</v>
      </c>
      <c r="C382" s="3" t="s">
        <v>1271</v>
      </c>
      <c r="D382" s="3" t="s">
        <v>1272</v>
      </c>
      <c r="E382" s="2">
        <v>2022</v>
      </c>
      <c r="F382" s="3" t="s">
        <v>1273</v>
      </c>
      <c r="G382" s="2" t="s">
        <v>12</v>
      </c>
      <c r="H382" s="3" t="s">
        <v>91</v>
      </c>
      <c r="I382" s="10" t="str">
        <f>HYPERLINK("http://dx.doi.org/10.1080/10406638.2020.1781204","http://dx.doi.org/10.1080/10406638.2020.1781204")</f>
        <v>http://dx.doi.org/10.1080/10406638.2020.1781204</v>
      </c>
    </row>
    <row r="383" spans="1:9" ht="75" x14ac:dyDescent="0.25">
      <c r="A383" s="2">
        <v>380</v>
      </c>
      <c r="B383" s="3" t="s">
        <v>1274</v>
      </c>
      <c r="C383" s="3" t="s">
        <v>1275</v>
      </c>
      <c r="D383" s="3" t="s">
        <v>1276</v>
      </c>
      <c r="E383" s="2">
        <v>2020</v>
      </c>
      <c r="F383" s="3" t="s">
        <v>394</v>
      </c>
      <c r="G383" s="2" t="s">
        <v>12</v>
      </c>
      <c r="H383" s="3" t="s">
        <v>18</v>
      </c>
      <c r="I383" s="10" t="str">
        <f>HYPERLINK("http://dx.doi.org/10.1007/s42452-020-2463-3","http://dx.doi.org/10.1007/s42452-020-2463-3")</f>
        <v>http://dx.doi.org/10.1007/s42452-020-2463-3</v>
      </c>
    </row>
    <row r="384" spans="1:9" ht="60" x14ac:dyDescent="0.25">
      <c r="A384" s="2">
        <v>381</v>
      </c>
      <c r="B384" s="3" t="s">
        <v>1277</v>
      </c>
      <c r="C384" s="3" t="s">
        <v>1152</v>
      </c>
      <c r="D384" s="3" t="s">
        <v>1278</v>
      </c>
      <c r="E384" s="2">
        <v>2020</v>
      </c>
      <c r="F384" s="3" t="s">
        <v>261</v>
      </c>
      <c r="G384" s="2" t="s">
        <v>12</v>
      </c>
      <c r="H384" s="3" t="s">
        <v>1279</v>
      </c>
      <c r="I384" s="10" t="str">
        <f>HYPERLINK("http://dx.doi.org/10.14712/1213-7243.2020.014","http://dx.doi.org/10.14712/1213-7243.2020.014")</f>
        <v>http://dx.doi.org/10.14712/1213-7243.2020.014</v>
      </c>
    </row>
    <row r="385" spans="1:9" ht="90" x14ac:dyDescent="0.25">
      <c r="A385" s="2">
        <v>382</v>
      </c>
      <c r="B385" s="3" t="s">
        <v>92</v>
      </c>
      <c r="C385" s="3" t="s">
        <v>60</v>
      </c>
      <c r="D385" s="3" t="s">
        <v>1280</v>
      </c>
      <c r="E385" s="2">
        <v>2020</v>
      </c>
      <c r="F385" s="3" t="s">
        <v>1281</v>
      </c>
      <c r="G385" s="2" t="s">
        <v>12</v>
      </c>
      <c r="H385" s="3" t="s">
        <v>1129</v>
      </c>
      <c r="I385" s="10" t="str">
        <f>HYPERLINK("http://dx.doi.org/10.17512/jamcm.2020.1.08","http://dx.doi.org/10.17512/jamcm.2020.1.08")</f>
        <v>http://dx.doi.org/10.17512/jamcm.2020.1.08</v>
      </c>
    </row>
    <row r="386" spans="1:9" ht="120" x14ac:dyDescent="0.25">
      <c r="A386" s="2">
        <v>383</v>
      </c>
      <c r="B386" s="3" t="s">
        <v>1282</v>
      </c>
      <c r="C386" s="3" t="s">
        <v>1283</v>
      </c>
      <c r="D386" s="3" t="s">
        <v>1284</v>
      </c>
      <c r="E386" s="2">
        <v>2018</v>
      </c>
      <c r="F386" s="3" t="s">
        <v>421</v>
      </c>
      <c r="G386" s="2" t="s">
        <v>12</v>
      </c>
      <c r="H386" s="3" t="s">
        <v>58</v>
      </c>
      <c r="I386" s="10" t="str">
        <f>HYPERLINK("http://dx.doi.org/10.1039/c8ra01358f","http://dx.doi.org/10.1039/c8ra01358f")</f>
        <v>http://dx.doi.org/10.1039/c8ra01358f</v>
      </c>
    </row>
    <row r="387" spans="1:9" ht="60" x14ac:dyDescent="0.25">
      <c r="A387" s="2">
        <v>384</v>
      </c>
      <c r="B387" s="3" t="s">
        <v>1285</v>
      </c>
      <c r="C387" s="3" t="s">
        <v>81</v>
      </c>
      <c r="D387" s="3" t="s">
        <v>1286</v>
      </c>
      <c r="E387" s="2">
        <v>2018</v>
      </c>
      <c r="F387" s="3" t="s">
        <v>898</v>
      </c>
      <c r="G387" s="2" t="s">
        <v>12</v>
      </c>
      <c r="H387" s="3" t="s">
        <v>525</v>
      </c>
      <c r="I387" s="10" t="str">
        <f>HYPERLINK("http://dx.doi.org/10.1063/1.5032994","http://dx.doi.org/10.1063/1.5032994")</f>
        <v>http://dx.doi.org/10.1063/1.5032994</v>
      </c>
    </row>
    <row r="388" spans="1:9" ht="45" x14ac:dyDescent="0.25">
      <c r="A388" s="2">
        <v>385</v>
      </c>
      <c r="B388" s="3" t="s">
        <v>1287</v>
      </c>
      <c r="C388" s="3" t="s">
        <v>1104</v>
      </c>
      <c r="D388" s="3" t="s">
        <v>1288</v>
      </c>
      <c r="E388" s="2">
        <v>2023</v>
      </c>
      <c r="F388" s="3" t="s">
        <v>32</v>
      </c>
      <c r="G388" s="2" t="s">
        <v>12</v>
      </c>
      <c r="H388" s="3" t="s">
        <v>23</v>
      </c>
      <c r="I388" s="10" t="str">
        <f>HYPERLINK("http://dx.doi.org/10.1002/ardp.202300171","http://dx.doi.org/10.1002/ardp.202300171")</f>
        <v>http://dx.doi.org/10.1002/ardp.202300171</v>
      </c>
    </row>
    <row r="389" spans="1:9" ht="90" x14ac:dyDescent="0.25">
      <c r="A389" s="2">
        <v>386</v>
      </c>
      <c r="B389" s="3" t="s">
        <v>1289</v>
      </c>
      <c r="C389" s="3" t="s">
        <v>972</v>
      </c>
      <c r="D389" s="3" t="s">
        <v>1290</v>
      </c>
      <c r="E389" s="2">
        <v>2022</v>
      </c>
      <c r="F389" s="3" t="s">
        <v>631</v>
      </c>
      <c r="G389" s="2" t="s">
        <v>12</v>
      </c>
      <c r="H389" s="3" t="s">
        <v>205</v>
      </c>
      <c r="I389" s="10" t="str">
        <f>HYPERLINK("http://dx.doi.org/10.1080/00397911.2022.2093645","http://dx.doi.org/10.1080/00397911.2022.2093645")</f>
        <v>http://dx.doi.org/10.1080/00397911.2022.2093645</v>
      </c>
    </row>
    <row r="390" spans="1:9" ht="90" x14ac:dyDescent="0.25">
      <c r="A390" s="2">
        <v>387</v>
      </c>
      <c r="B390" s="3" t="s">
        <v>1291</v>
      </c>
      <c r="C390" s="3" t="s">
        <v>104</v>
      </c>
      <c r="D390" s="3" t="s">
        <v>1292</v>
      </c>
      <c r="E390" s="2">
        <v>2020</v>
      </c>
      <c r="F390" s="3" t="s">
        <v>1293</v>
      </c>
      <c r="G390" s="2" t="s">
        <v>12</v>
      </c>
      <c r="H390" s="3" t="s">
        <v>160</v>
      </c>
      <c r="I390" s="10" t="str">
        <f>HYPERLINK("http://dx.doi.org/10.12941/jksiam.2020.24.093","http://dx.doi.org/10.12941/jksiam.2020.24.093")</f>
        <v>http://dx.doi.org/10.12941/jksiam.2020.24.093</v>
      </c>
    </row>
    <row r="391" spans="1:9" ht="60" x14ac:dyDescent="0.25">
      <c r="A391" s="2">
        <v>388</v>
      </c>
      <c r="B391" s="3" t="s">
        <v>1294</v>
      </c>
      <c r="C391" s="3" t="s">
        <v>81</v>
      </c>
      <c r="D391" s="3" t="s">
        <v>1295</v>
      </c>
      <c r="E391" s="2">
        <v>2020</v>
      </c>
      <c r="F391" s="3" t="s">
        <v>1174</v>
      </c>
      <c r="G391" s="2" t="s">
        <v>12</v>
      </c>
      <c r="H391" s="3" t="s">
        <v>18</v>
      </c>
      <c r="I391" s="10" t="str">
        <f>HYPERLINK("http://dx.doi.org/10.1007/978-3-030-16848-3_26","http://dx.doi.org/10.1007/978-3-030-16848-3_26")</f>
        <v>http://dx.doi.org/10.1007/978-3-030-16848-3_26</v>
      </c>
    </row>
    <row r="392" spans="1:9" ht="90" x14ac:dyDescent="0.25">
      <c r="A392" s="2">
        <v>389</v>
      </c>
      <c r="B392" s="3" t="s">
        <v>1296</v>
      </c>
      <c r="C392" s="3" t="s">
        <v>20</v>
      </c>
      <c r="D392" s="3" t="s">
        <v>1297</v>
      </c>
      <c r="E392" s="2">
        <v>2024</v>
      </c>
      <c r="F392" s="3" t="s">
        <v>1298</v>
      </c>
      <c r="G392" s="2" t="s">
        <v>12</v>
      </c>
      <c r="H392" s="3" t="s">
        <v>277</v>
      </c>
      <c r="I392" s="10" t="str">
        <f>HYPERLINK("http://dx.doi.org/10.1016/j.apsusc.2023.159083","http://dx.doi.org/10.1016/j.apsusc.2023.159083")</f>
        <v>http://dx.doi.org/10.1016/j.apsusc.2023.159083</v>
      </c>
    </row>
    <row r="393" spans="1:9" ht="75" x14ac:dyDescent="0.25">
      <c r="A393" s="2">
        <v>390</v>
      </c>
      <c r="B393" s="3" t="s">
        <v>1299</v>
      </c>
      <c r="C393" s="3" t="s">
        <v>211</v>
      </c>
      <c r="D393" s="3" t="s">
        <v>1300</v>
      </c>
      <c r="E393" s="2">
        <v>2022</v>
      </c>
      <c r="F393" s="3" t="s">
        <v>1301</v>
      </c>
      <c r="G393" s="2" t="s">
        <v>12</v>
      </c>
      <c r="H393" s="3" t="s">
        <v>23</v>
      </c>
      <c r="I393" s="10" t="str">
        <f>HYPERLINK("http://dx.doi.org/10.1002/pssa.202100703","http://dx.doi.org/10.1002/pssa.202100703")</f>
        <v>http://dx.doi.org/10.1002/pssa.202100703</v>
      </c>
    </row>
    <row r="394" spans="1:9" ht="60" x14ac:dyDescent="0.25">
      <c r="A394" s="2">
        <v>391</v>
      </c>
      <c r="B394" s="3" t="s">
        <v>92</v>
      </c>
      <c r="C394" s="3" t="s">
        <v>317</v>
      </c>
      <c r="D394" s="3" t="s">
        <v>1302</v>
      </c>
      <c r="E394" s="2">
        <v>2020</v>
      </c>
      <c r="F394" s="3" t="s">
        <v>1303</v>
      </c>
      <c r="G394" s="2" t="s">
        <v>12</v>
      </c>
      <c r="H394" s="3" t="s">
        <v>448</v>
      </c>
      <c r="I394" s="10" t="str">
        <f>HYPERLINK("http://dx.doi.org/10.5890/JAND.2020.09.009","http://dx.doi.org/10.5890/JAND.2020.09.009")</f>
        <v>http://dx.doi.org/10.5890/JAND.2020.09.009</v>
      </c>
    </row>
    <row r="395" spans="1:9" ht="105" x14ac:dyDescent="0.25">
      <c r="A395" s="2">
        <v>392</v>
      </c>
      <c r="B395" s="3" t="s">
        <v>1304</v>
      </c>
      <c r="C395" s="3" t="s">
        <v>588</v>
      </c>
      <c r="D395" s="3" t="s">
        <v>1305</v>
      </c>
      <c r="E395" s="2">
        <v>2020</v>
      </c>
      <c r="F395" s="3" t="s">
        <v>1306</v>
      </c>
      <c r="G395" s="2" t="s">
        <v>12</v>
      </c>
      <c r="H395" s="3" t="s">
        <v>747</v>
      </c>
      <c r="I395" s="10" t="str">
        <f>HYPERLINK("http://dx.doi.org/10.1016/j.ceramint.2019.11.265","http://dx.doi.org/10.1016/j.ceramint.2019.11.265")</f>
        <v>http://dx.doi.org/10.1016/j.ceramint.2019.11.265</v>
      </c>
    </row>
    <row r="396" spans="1:9" ht="75" x14ac:dyDescent="0.25">
      <c r="A396" s="2">
        <v>393</v>
      </c>
      <c r="B396" s="3" t="s">
        <v>1307</v>
      </c>
      <c r="C396" s="3" t="s">
        <v>1308</v>
      </c>
      <c r="D396" s="3" t="s">
        <v>1309</v>
      </c>
      <c r="E396" s="2">
        <v>2019</v>
      </c>
      <c r="F396" s="3" t="s">
        <v>1310</v>
      </c>
      <c r="G396" s="2" t="s">
        <v>12</v>
      </c>
      <c r="H396" s="3" t="s">
        <v>48</v>
      </c>
      <c r="I396" s="10" t="str">
        <f>HYPERLINK("http://dx.doi.org/10.1007/s10948-018-4819-0","http://dx.doi.org/10.1007/s10948-018-4819-0")</f>
        <v>http://dx.doi.org/10.1007/s10948-018-4819-0</v>
      </c>
    </row>
    <row r="397" spans="1:9" ht="90" x14ac:dyDescent="0.25">
      <c r="A397" s="2">
        <v>394</v>
      </c>
      <c r="B397" s="3" t="s">
        <v>1311</v>
      </c>
      <c r="C397" s="3" t="s">
        <v>1312</v>
      </c>
      <c r="D397" s="3" t="s">
        <v>1313</v>
      </c>
      <c r="E397" s="2">
        <v>2019</v>
      </c>
      <c r="F397" s="3" t="s">
        <v>460</v>
      </c>
      <c r="G397" s="2" t="s">
        <v>12</v>
      </c>
      <c r="H397" s="3" t="s">
        <v>48</v>
      </c>
      <c r="I397" s="10" t="str">
        <f>HYPERLINK("http://dx.doi.org/10.1007/s10948-018-4711-y","http://dx.doi.org/10.1007/s10948-018-4711-y")</f>
        <v>http://dx.doi.org/10.1007/s10948-018-4711-y</v>
      </c>
    </row>
    <row r="398" spans="1:9" ht="60" x14ac:dyDescent="0.25">
      <c r="A398" s="2">
        <v>395</v>
      </c>
      <c r="B398" s="3" t="s">
        <v>1314</v>
      </c>
      <c r="C398" s="3" t="s">
        <v>1315</v>
      </c>
      <c r="D398" s="3" t="s">
        <v>1316</v>
      </c>
      <c r="E398" s="2">
        <v>2019</v>
      </c>
      <c r="F398" s="3" t="s">
        <v>941</v>
      </c>
      <c r="G398" s="2" t="s">
        <v>12</v>
      </c>
      <c r="H398" s="3" t="s">
        <v>48</v>
      </c>
      <c r="I398" s="10" t="str">
        <f>HYPERLINK("http://dx.doi.org/10.1007/s11664-018-6715-6","http://dx.doi.org/10.1007/s11664-018-6715-6")</f>
        <v>http://dx.doi.org/10.1007/s11664-018-6715-6</v>
      </c>
    </row>
    <row r="399" spans="1:9" ht="90" x14ac:dyDescent="0.25">
      <c r="A399" s="2">
        <v>396</v>
      </c>
      <c r="B399" s="3" t="s">
        <v>1317</v>
      </c>
      <c r="C399" s="3" t="s">
        <v>972</v>
      </c>
      <c r="D399" s="3" t="s">
        <v>1318</v>
      </c>
      <c r="E399" s="2">
        <v>2018</v>
      </c>
      <c r="F399" s="3" t="s">
        <v>452</v>
      </c>
      <c r="G399" s="2" t="s">
        <v>12</v>
      </c>
      <c r="H399" s="3" t="s">
        <v>747</v>
      </c>
      <c r="I399" s="10" t="str">
        <f>HYPERLINK("http://dx.doi.org/10.1016/j.ceramint.2017.12.180","http://dx.doi.org/10.1016/j.ceramint.2017.12.180")</f>
        <v>http://dx.doi.org/10.1016/j.ceramint.2017.12.180</v>
      </c>
    </row>
    <row r="400" spans="1:9" ht="45" x14ac:dyDescent="0.25">
      <c r="A400" s="2">
        <v>397</v>
      </c>
      <c r="B400" s="3" t="s">
        <v>1319</v>
      </c>
      <c r="C400" s="3" t="s">
        <v>192</v>
      </c>
      <c r="D400" s="3" t="s">
        <v>1320</v>
      </c>
      <c r="E400" s="2">
        <v>2018</v>
      </c>
      <c r="F400" s="3" t="s">
        <v>1097</v>
      </c>
      <c r="G400" s="2" t="s">
        <v>12</v>
      </c>
      <c r="H400" s="3" t="s">
        <v>525</v>
      </c>
      <c r="I400" s="10" t="str">
        <f>HYPERLINK("http://dx.doi.org/10.1063/1.5032387","http://dx.doi.org/10.1063/1.5032387")</f>
        <v>http://dx.doi.org/10.1063/1.5032387</v>
      </c>
    </row>
    <row r="401" spans="1:9" ht="60" x14ac:dyDescent="0.25">
      <c r="A401" s="2">
        <v>398</v>
      </c>
      <c r="B401" s="3" t="s">
        <v>1321</v>
      </c>
      <c r="C401" s="3" t="s">
        <v>1322</v>
      </c>
      <c r="D401" s="3" t="s">
        <v>1323</v>
      </c>
      <c r="E401" s="2">
        <v>2021</v>
      </c>
      <c r="F401" s="3" t="s">
        <v>898</v>
      </c>
      <c r="G401" s="2" t="s">
        <v>12</v>
      </c>
      <c r="H401" s="3" t="s">
        <v>38</v>
      </c>
      <c r="I401" s="10" t="str">
        <f>HYPERLINK("http://dx.doi.org/10.2174/1573413716999201127112204","http://dx.doi.org/10.2174/1573413716999201127112204")</f>
        <v>http://dx.doi.org/10.2174/1573413716999201127112204</v>
      </c>
    </row>
    <row r="402" spans="1:9" ht="60" x14ac:dyDescent="0.25">
      <c r="A402" s="2">
        <v>399</v>
      </c>
      <c r="B402" s="3" t="s">
        <v>1294</v>
      </c>
      <c r="C402" s="3" t="s">
        <v>1324</v>
      </c>
      <c r="D402" s="3" t="s">
        <v>1325</v>
      </c>
      <c r="E402" s="2">
        <v>2020</v>
      </c>
      <c r="F402" s="3" t="s">
        <v>504</v>
      </c>
      <c r="G402" s="2" t="s">
        <v>12</v>
      </c>
      <c r="H402" s="3" t="s">
        <v>1326</v>
      </c>
      <c r="I402" s="10" t="s">
        <v>1327</v>
      </c>
    </row>
    <row r="403" spans="1:9" ht="90" x14ac:dyDescent="0.25">
      <c r="A403" s="2">
        <v>400</v>
      </c>
      <c r="B403" s="3" t="s">
        <v>1328</v>
      </c>
      <c r="C403" s="3" t="s">
        <v>104</v>
      </c>
      <c r="D403" s="3" t="s">
        <v>1329</v>
      </c>
      <c r="E403" s="2">
        <v>2019</v>
      </c>
      <c r="F403" s="3" t="s">
        <v>1330</v>
      </c>
      <c r="G403" s="2" t="s">
        <v>12</v>
      </c>
      <c r="H403" s="3" t="s">
        <v>205</v>
      </c>
      <c r="I403" s="10" t="str">
        <f>HYPERLINK("http://dx.doi.org/10.1080/00397911.2019.1597124","http://dx.doi.org/10.1080/00397911.2019.1597124")</f>
        <v>http://dx.doi.org/10.1080/00397911.2019.1597124</v>
      </c>
    </row>
    <row r="404" spans="1:9" ht="60" x14ac:dyDescent="0.25">
      <c r="A404" s="2">
        <v>401</v>
      </c>
      <c r="B404" s="3" t="s">
        <v>1331</v>
      </c>
      <c r="C404" s="3" t="s">
        <v>1332</v>
      </c>
      <c r="D404" s="3" t="s">
        <v>1333</v>
      </c>
      <c r="E404" s="2">
        <v>2019</v>
      </c>
      <c r="F404" s="3" t="s">
        <v>1174</v>
      </c>
      <c r="G404" s="2" t="s">
        <v>12</v>
      </c>
      <c r="H404" s="3" t="s">
        <v>525</v>
      </c>
      <c r="I404" s="10" t="str">
        <f>HYPERLINK("http://dx.doi.org/10.1063/1.5122644","http://dx.doi.org/10.1063/1.5122644")</f>
        <v>http://dx.doi.org/10.1063/1.5122644</v>
      </c>
    </row>
    <row r="405" spans="1:9" ht="120" x14ac:dyDescent="0.25">
      <c r="A405" s="2">
        <v>402</v>
      </c>
      <c r="B405" s="3" t="s">
        <v>1334</v>
      </c>
      <c r="C405" s="3" t="s">
        <v>1335</v>
      </c>
      <c r="D405" s="3" t="s">
        <v>1336</v>
      </c>
      <c r="E405" s="2">
        <v>2018</v>
      </c>
      <c r="F405" s="3" t="s">
        <v>470</v>
      </c>
      <c r="G405" s="2" t="s">
        <v>12</v>
      </c>
      <c r="H405" s="3" t="s">
        <v>1337</v>
      </c>
      <c r="I405" s="10" t="str">
        <f>HYPERLINK("http://dx.doi.org/10.1007/s00044-017-2085-5","http://dx.doi.org/10.1007/s00044-017-2085-5")</f>
        <v>http://dx.doi.org/10.1007/s00044-017-2085-5</v>
      </c>
    </row>
    <row r="406" spans="1:9" ht="75" x14ac:dyDescent="0.25">
      <c r="A406" s="2">
        <v>403</v>
      </c>
      <c r="B406" s="3" t="s">
        <v>1338</v>
      </c>
      <c r="C406" s="3" t="s">
        <v>45</v>
      </c>
      <c r="D406" s="3" t="s">
        <v>1339</v>
      </c>
      <c r="E406" s="2">
        <v>2018</v>
      </c>
      <c r="F406" s="3" t="s">
        <v>1340</v>
      </c>
      <c r="G406" s="2" t="s">
        <v>12</v>
      </c>
      <c r="H406" s="3" t="s">
        <v>13</v>
      </c>
      <c r="I406" s="10" t="str">
        <f>HYPERLINK("http://dx.doi.org/10.1007/978-981-10-7434-9_15","http://dx.doi.org/10.1007/978-981-10-7434-9_15")</f>
        <v>http://dx.doi.org/10.1007/978-981-10-7434-9_15</v>
      </c>
    </row>
    <row r="407" spans="1:9" ht="75" x14ac:dyDescent="0.25">
      <c r="A407" s="2">
        <v>404</v>
      </c>
      <c r="B407" s="3" t="s">
        <v>1341</v>
      </c>
      <c r="C407" s="3" t="s">
        <v>1342</v>
      </c>
      <c r="D407" s="3" t="s">
        <v>1343</v>
      </c>
      <c r="E407" s="2">
        <v>2022</v>
      </c>
      <c r="F407" s="3" t="s">
        <v>704</v>
      </c>
      <c r="G407" s="2" t="s">
        <v>12</v>
      </c>
      <c r="H407" s="3" t="s">
        <v>48</v>
      </c>
      <c r="I407" s="10" t="str">
        <f>HYPERLINK("http://dx.doi.org/10.1007/s11042-022-11997-y","http://dx.doi.org/10.1007/s11042-022-11997-y")</f>
        <v>http://dx.doi.org/10.1007/s11042-022-11997-y</v>
      </c>
    </row>
    <row r="408" spans="1:9" ht="90" x14ac:dyDescent="0.25">
      <c r="A408" s="2">
        <v>405</v>
      </c>
      <c r="B408" s="3" t="s">
        <v>1344</v>
      </c>
      <c r="C408" s="3" t="s">
        <v>1345</v>
      </c>
      <c r="D408" s="3" t="s">
        <v>1346</v>
      </c>
      <c r="E408" s="2">
        <v>2021</v>
      </c>
      <c r="F408" s="3" t="s">
        <v>394</v>
      </c>
      <c r="G408" s="2" t="s">
        <v>12</v>
      </c>
      <c r="H408" s="3" t="s">
        <v>48</v>
      </c>
      <c r="I408" s="10" t="str">
        <f>HYPERLINK("http://dx.doi.org/10.1007/s12665-021-09586-7","http://dx.doi.org/10.1007/s12665-021-09586-7")</f>
        <v>http://dx.doi.org/10.1007/s12665-021-09586-7</v>
      </c>
    </row>
    <row r="409" spans="1:9" ht="135" x14ac:dyDescent="0.25">
      <c r="A409" s="2">
        <v>406</v>
      </c>
      <c r="B409" s="3" t="s">
        <v>1347</v>
      </c>
      <c r="C409" s="3" t="s">
        <v>461</v>
      </c>
      <c r="D409" s="3" t="s">
        <v>1348</v>
      </c>
      <c r="E409" s="2">
        <v>2020</v>
      </c>
      <c r="F409" s="3" t="s">
        <v>1349</v>
      </c>
      <c r="G409" s="2" t="s">
        <v>12</v>
      </c>
      <c r="H409" s="3" t="s">
        <v>205</v>
      </c>
      <c r="I409" s="10" t="str">
        <f>HYPERLINK("http://dx.doi.org/10.1080/00397911.2019.1692868","http://dx.doi.org/10.1080/00397911.2019.1692868")</f>
        <v>http://dx.doi.org/10.1080/00397911.2019.1692868</v>
      </c>
    </row>
    <row r="410" spans="1:9" ht="60" x14ac:dyDescent="0.25">
      <c r="A410" s="2">
        <v>407</v>
      </c>
      <c r="B410" s="3" t="s">
        <v>1350</v>
      </c>
      <c r="C410" s="3" t="s">
        <v>961</v>
      </c>
      <c r="D410" s="3" t="s">
        <v>1351</v>
      </c>
      <c r="E410" s="2">
        <v>2019</v>
      </c>
      <c r="F410" s="3" t="s">
        <v>1352</v>
      </c>
      <c r="G410" s="2" t="s">
        <v>12</v>
      </c>
      <c r="H410" s="3" t="s">
        <v>23</v>
      </c>
      <c r="I410" s="10" t="str">
        <f>HYPERLINK("http://dx.doi.org/10.1002/jccs.201900198","http://dx.doi.org/10.1002/jccs.201900198")</f>
        <v>http://dx.doi.org/10.1002/jccs.201900198</v>
      </c>
    </row>
    <row r="411" spans="1:9" ht="90" x14ac:dyDescent="0.25">
      <c r="A411" s="2">
        <v>408</v>
      </c>
      <c r="B411" s="3" t="s">
        <v>1353</v>
      </c>
      <c r="C411" s="3" t="s">
        <v>30</v>
      </c>
      <c r="D411" s="3" t="s">
        <v>1354</v>
      </c>
      <c r="E411" s="2">
        <v>2018</v>
      </c>
      <c r="F411" s="3" t="s">
        <v>1180</v>
      </c>
      <c r="G411" s="2" t="s">
        <v>12</v>
      </c>
      <c r="H411" s="3" t="s">
        <v>48</v>
      </c>
      <c r="I411" s="10" t="str">
        <f>HYPERLINK("http://dx.doi.org/10.1007/s10854-018-8874-x","http://dx.doi.org/10.1007/s10854-018-8874-x")</f>
        <v>http://dx.doi.org/10.1007/s10854-018-8874-x</v>
      </c>
    </row>
    <row r="412" spans="1:9" ht="60" x14ac:dyDescent="0.25">
      <c r="A412" s="2">
        <v>409</v>
      </c>
      <c r="B412" s="3" t="s">
        <v>1355</v>
      </c>
      <c r="C412" s="3" t="s">
        <v>688</v>
      </c>
      <c r="D412" s="3" t="s">
        <v>1356</v>
      </c>
      <c r="E412" s="2">
        <v>2023</v>
      </c>
      <c r="F412" s="3" t="s">
        <v>1163</v>
      </c>
      <c r="G412" s="2" t="s">
        <v>12</v>
      </c>
      <c r="H412" s="3" t="s">
        <v>799</v>
      </c>
      <c r="I412" s="10" t="str">
        <f>HYPERLINK("http://dx.doi.org/10.3390/math11030612","http://dx.doi.org/10.3390/math11030612")</f>
        <v>http://dx.doi.org/10.3390/math11030612</v>
      </c>
    </row>
    <row r="413" spans="1:9" ht="90" x14ac:dyDescent="0.25">
      <c r="A413" s="2">
        <v>410</v>
      </c>
      <c r="B413" s="3" t="s">
        <v>1357</v>
      </c>
      <c r="C413" s="3" t="s">
        <v>1358</v>
      </c>
      <c r="D413" s="3" t="s">
        <v>1359</v>
      </c>
      <c r="E413" s="2">
        <v>2023</v>
      </c>
      <c r="F413" s="3" t="s">
        <v>994</v>
      </c>
      <c r="G413" s="2" t="s">
        <v>12</v>
      </c>
      <c r="H413" s="3" t="s">
        <v>1360</v>
      </c>
      <c r="I413" s="10" t="str">
        <f>HYPERLINK("http://dx.doi.org/10.1109/ACCESS.2023.3343731","http://dx.doi.org/10.1109/ACCESS.2023.3343731")</f>
        <v>http://dx.doi.org/10.1109/ACCESS.2023.3343731</v>
      </c>
    </row>
    <row r="414" spans="1:9" ht="90" x14ac:dyDescent="0.25">
      <c r="A414" s="2">
        <v>411</v>
      </c>
      <c r="B414" s="3" t="s">
        <v>1361</v>
      </c>
      <c r="C414" s="3" t="s">
        <v>1233</v>
      </c>
      <c r="D414" s="3" t="s">
        <v>1362</v>
      </c>
      <c r="E414" s="2">
        <v>2022</v>
      </c>
      <c r="F414" s="3" t="s">
        <v>1330</v>
      </c>
      <c r="G414" s="2" t="s">
        <v>12</v>
      </c>
      <c r="H414" s="3" t="s">
        <v>439</v>
      </c>
      <c r="I414" s="10" t="str">
        <f>HYPERLINK("http://dx.doi.org/10.1007/s00339-022-05648-0","http://dx.doi.org/10.1007/s00339-022-05648-0")</f>
        <v>http://dx.doi.org/10.1007/s00339-022-05648-0</v>
      </c>
    </row>
    <row r="415" spans="1:9" ht="60" x14ac:dyDescent="0.25">
      <c r="A415" s="2">
        <v>412</v>
      </c>
      <c r="B415" s="3" t="s">
        <v>1363</v>
      </c>
      <c r="C415" s="3" t="s">
        <v>1364</v>
      </c>
      <c r="D415" s="3" t="s">
        <v>1365</v>
      </c>
      <c r="E415" s="2">
        <v>2022</v>
      </c>
      <c r="F415" s="3" t="s">
        <v>463</v>
      </c>
      <c r="G415" s="2" t="s">
        <v>12</v>
      </c>
      <c r="H415" s="3" t="s">
        <v>67</v>
      </c>
      <c r="I415" s="10" t="str">
        <f>HYPERLINK("http://dx.doi.org/10.1002/jhet.4429","http://dx.doi.org/10.1002/jhet.4429")</f>
        <v>http://dx.doi.org/10.1002/jhet.4429</v>
      </c>
    </row>
    <row r="416" spans="1:9" ht="75" x14ac:dyDescent="0.25">
      <c r="A416" s="2">
        <v>413</v>
      </c>
      <c r="B416" s="3" t="s">
        <v>1366</v>
      </c>
      <c r="C416" s="3" t="s">
        <v>1367</v>
      </c>
      <c r="D416" s="3" t="s">
        <v>1368</v>
      </c>
      <c r="E416" s="2">
        <v>2022</v>
      </c>
      <c r="F416" s="3" t="s">
        <v>1180</v>
      </c>
      <c r="G416" s="2" t="s">
        <v>12</v>
      </c>
      <c r="H416" s="3" t="s">
        <v>67</v>
      </c>
      <c r="I416" s="10" t="str">
        <f>HYPERLINK("http://dx.doi.org/10.1002/aoc.6586","http://dx.doi.org/10.1002/aoc.6586")</f>
        <v>http://dx.doi.org/10.1002/aoc.6586</v>
      </c>
    </row>
    <row r="417" spans="1:9" ht="75" x14ac:dyDescent="0.25">
      <c r="A417" s="2">
        <v>414</v>
      </c>
      <c r="B417" s="3" t="s">
        <v>1369</v>
      </c>
      <c r="C417" s="3" t="s">
        <v>1370</v>
      </c>
      <c r="D417" s="3" t="s">
        <v>1371</v>
      </c>
      <c r="E417" s="2">
        <v>2022</v>
      </c>
      <c r="F417" s="3" t="s">
        <v>1097</v>
      </c>
      <c r="G417" s="2" t="s">
        <v>12</v>
      </c>
      <c r="H417" s="3" t="s">
        <v>91</v>
      </c>
      <c r="I417" s="10" t="str">
        <f>HYPERLINK("http://dx.doi.org/10.1080/10406638.2021.1970587","http://dx.doi.org/10.1080/10406638.2021.1970587")</f>
        <v>http://dx.doi.org/10.1080/10406638.2021.1970587</v>
      </c>
    </row>
    <row r="418" spans="1:9" ht="105" x14ac:dyDescent="0.25">
      <c r="A418" s="2">
        <v>415</v>
      </c>
      <c r="B418" s="3" t="s">
        <v>1175</v>
      </c>
      <c r="C418" s="3" t="s">
        <v>1372</v>
      </c>
      <c r="D418" s="3" t="s">
        <v>1373</v>
      </c>
      <c r="E418" s="2">
        <v>2021</v>
      </c>
      <c r="F418" s="3" t="s">
        <v>1097</v>
      </c>
      <c r="G418" s="2" t="s">
        <v>12</v>
      </c>
      <c r="H418" s="3" t="s">
        <v>1177</v>
      </c>
      <c r="I418" s="10" t="str">
        <f>HYPERLINK("http://dx.doi.org/10.1089/mdr.2020.0200","http://dx.doi.org/10.1089/mdr.2020.0200")</f>
        <v>http://dx.doi.org/10.1089/mdr.2020.0200</v>
      </c>
    </row>
    <row r="419" spans="1:9" ht="60" x14ac:dyDescent="0.25">
      <c r="A419" s="2">
        <v>416</v>
      </c>
      <c r="B419" s="3" t="s">
        <v>246</v>
      </c>
      <c r="C419" s="3" t="s">
        <v>1374</v>
      </c>
      <c r="D419" s="3" t="s">
        <v>1375</v>
      </c>
      <c r="E419" s="2">
        <v>2018</v>
      </c>
      <c r="F419" s="3" t="s">
        <v>1330</v>
      </c>
      <c r="G419" s="2" t="s">
        <v>12</v>
      </c>
      <c r="H419" s="3" t="s">
        <v>384</v>
      </c>
      <c r="I419" s="10" t="str">
        <f>HYPERLINK("http://dx.doi.org/10.17516/1997-1397-2018-11-6-692-701","http://dx.doi.org/10.17516/1997-1397-2018-11-6-692-701")</f>
        <v>http://dx.doi.org/10.17516/1997-1397-2018-11-6-692-701</v>
      </c>
    </row>
    <row r="420" spans="1:9" ht="60" x14ac:dyDescent="0.25">
      <c r="A420" s="2">
        <v>417</v>
      </c>
      <c r="B420" s="3" t="s">
        <v>1376</v>
      </c>
      <c r="C420" s="3" t="s">
        <v>506</v>
      </c>
      <c r="D420" s="3" t="s">
        <v>1377</v>
      </c>
      <c r="E420" s="2">
        <v>2023</v>
      </c>
      <c r="F420" s="3" t="s">
        <v>941</v>
      </c>
      <c r="G420" s="2" t="s">
        <v>12</v>
      </c>
      <c r="H420" s="3" t="s">
        <v>38</v>
      </c>
      <c r="I420" s="10" t="str">
        <f>HYPERLINK("http://dx.doi.org/10.2174/1570178620666230103140744","http://dx.doi.org/10.2174/1570178620666230103140744")</f>
        <v>http://dx.doi.org/10.2174/1570178620666230103140744</v>
      </c>
    </row>
    <row r="421" spans="1:9" ht="120" x14ac:dyDescent="0.25">
      <c r="A421" s="2">
        <v>418</v>
      </c>
      <c r="B421" s="3" t="s">
        <v>1378</v>
      </c>
      <c r="C421" s="3" t="s">
        <v>211</v>
      </c>
      <c r="D421" s="3" t="s">
        <v>1379</v>
      </c>
      <c r="E421" s="2">
        <v>2023</v>
      </c>
      <c r="F421" s="3" t="s">
        <v>313</v>
      </c>
      <c r="G421" s="2" t="s">
        <v>12</v>
      </c>
      <c r="H421" s="3" t="s">
        <v>91</v>
      </c>
      <c r="I421" s="10" t="str">
        <f>HYPERLINK("http://dx.doi.org/10.1080/10406638.2022.2131852","http://dx.doi.org/10.1080/10406638.2022.2131852")</f>
        <v>http://dx.doi.org/10.1080/10406638.2022.2131852</v>
      </c>
    </row>
    <row r="422" spans="1:9" ht="90" x14ac:dyDescent="0.25">
      <c r="A422" s="2">
        <v>419</v>
      </c>
      <c r="B422" s="3" t="s">
        <v>1380</v>
      </c>
      <c r="C422" s="3" t="s">
        <v>495</v>
      </c>
      <c r="D422" s="3" t="s">
        <v>1381</v>
      </c>
      <c r="E422" s="2">
        <v>2022</v>
      </c>
      <c r="F422" s="3" t="s">
        <v>941</v>
      </c>
      <c r="G422" s="2" t="s">
        <v>12</v>
      </c>
      <c r="H422" s="3" t="s">
        <v>23</v>
      </c>
      <c r="I422" s="10" t="str">
        <f>HYPERLINK("http://dx.doi.org/10.1002/slct.202202166","http://dx.doi.org/10.1002/slct.202202166")</f>
        <v>http://dx.doi.org/10.1002/slct.202202166</v>
      </c>
    </row>
    <row r="423" spans="1:9" ht="60" x14ac:dyDescent="0.25">
      <c r="A423" s="2">
        <v>420</v>
      </c>
      <c r="B423" s="3" t="s">
        <v>1382</v>
      </c>
      <c r="C423" s="3" t="s">
        <v>1152</v>
      </c>
      <c r="D423" s="3" t="s">
        <v>1383</v>
      </c>
      <c r="E423" s="2">
        <v>2021</v>
      </c>
      <c r="F423" s="3" t="s">
        <v>1180</v>
      </c>
      <c r="G423" s="2" t="s">
        <v>12</v>
      </c>
      <c r="H423" s="3" t="s">
        <v>48</v>
      </c>
      <c r="I423" s="10" t="str">
        <f>HYPERLINK("http://dx.doi.org/10.1007/s10854-021-05364-0","http://dx.doi.org/10.1007/s10854-021-05364-0")</f>
        <v>http://dx.doi.org/10.1007/s10854-021-05364-0</v>
      </c>
    </row>
    <row r="424" spans="1:9" ht="105" x14ac:dyDescent="0.25">
      <c r="A424" s="2">
        <v>421</v>
      </c>
      <c r="B424" s="3" t="s">
        <v>1384</v>
      </c>
      <c r="C424" s="3" t="s">
        <v>961</v>
      </c>
      <c r="D424" s="3" t="s">
        <v>1385</v>
      </c>
      <c r="E424" s="2">
        <v>2021</v>
      </c>
      <c r="F424" s="3" t="s">
        <v>1386</v>
      </c>
      <c r="G424" s="2" t="s">
        <v>12</v>
      </c>
      <c r="H424" s="3" t="s">
        <v>23</v>
      </c>
      <c r="I424" s="10" t="str">
        <f>HYPERLINK("http://dx.doi.org/10.1002/jccs.202000468","http://dx.doi.org/10.1002/jccs.202000468")</f>
        <v>http://dx.doi.org/10.1002/jccs.202000468</v>
      </c>
    </row>
    <row r="425" spans="1:9" ht="60" x14ac:dyDescent="0.25">
      <c r="A425" s="2">
        <v>422</v>
      </c>
      <c r="B425" s="3" t="s">
        <v>1387</v>
      </c>
      <c r="C425" s="3" t="s">
        <v>192</v>
      </c>
      <c r="D425" s="3" t="s">
        <v>1388</v>
      </c>
      <c r="E425" s="2">
        <v>2020</v>
      </c>
      <c r="F425" s="3" t="s">
        <v>261</v>
      </c>
      <c r="G425" s="2" t="s">
        <v>12</v>
      </c>
      <c r="H425" s="3" t="s">
        <v>298</v>
      </c>
      <c r="I425" s="10" t="str">
        <f>HYPERLINK("http://dx.doi.org/10.1007/s42452-020-03322-9","http://dx.doi.org/10.1007/s42452-020-03322-9")</f>
        <v>http://dx.doi.org/10.1007/s42452-020-03322-9</v>
      </c>
    </row>
    <row r="426" spans="1:9" ht="75" x14ac:dyDescent="0.25">
      <c r="A426" s="2">
        <v>423</v>
      </c>
      <c r="B426" s="3" t="s">
        <v>1389</v>
      </c>
      <c r="C426" s="3" t="s">
        <v>1390</v>
      </c>
      <c r="D426" s="3" t="s">
        <v>1391</v>
      </c>
      <c r="E426" s="2">
        <v>2020</v>
      </c>
      <c r="F426" s="3" t="s">
        <v>1392</v>
      </c>
      <c r="G426" s="2" t="s">
        <v>12</v>
      </c>
      <c r="H426" s="3" t="s">
        <v>1393</v>
      </c>
      <c r="I426" s="12" t="s">
        <v>3204</v>
      </c>
    </row>
    <row r="427" spans="1:9" ht="60" x14ac:dyDescent="0.25">
      <c r="A427" s="2">
        <v>424</v>
      </c>
      <c r="B427" s="3" t="s">
        <v>293</v>
      </c>
      <c r="C427" s="3" t="s">
        <v>1233</v>
      </c>
      <c r="D427" s="3" t="s">
        <v>1394</v>
      </c>
      <c r="E427" s="2">
        <v>2019</v>
      </c>
      <c r="F427" s="3" t="s">
        <v>1395</v>
      </c>
      <c r="G427" s="2" t="s">
        <v>12</v>
      </c>
      <c r="H427" s="3" t="s">
        <v>1396</v>
      </c>
      <c r="I427" s="10" t="str">
        <f>HYPERLINK("http://dx.doi.org/10.4208/aamm.OA-2018-0143","http://dx.doi.org/10.4208/aamm.OA-2018-0143")</f>
        <v>http://dx.doi.org/10.4208/aamm.OA-2018-0143</v>
      </c>
    </row>
    <row r="428" spans="1:9" ht="120" x14ac:dyDescent="0.25">
      <c r="A428" s="2">
        <v>425</v>
      </c>
      <c r="B428" s="3" t="s">
        <v>1397</v>
      </c>
      <c r="C428" s="3" t="s">
        <v>518</v>
      </c>
      <c r="D428" s="3" t="s">
        <v>1398</v>
      </c>
      <c r="E428" s="2">
        <v>2019</v>
      </c>
      <c r="F428" s="3" t="s">
        <v>394</v>
      </c>
      <c r="G428" s="2" t="s">
        <v>12</v>
      </c>
      <c r="H428" s="3" t="s">
        <v>1399</v>
      </c>
      <c r="I428" s="10" t="str">
        <f>HYPERLINK("http://dx.doi.org/10.1556/1326.2017.00333","http://dx.doi.org/10.1556/1326.2017.00333")</f>
        <v>http://dx.doi.org/10.1556/1326.2017.00333</v>
      </c>
    </row>
    <row r="429" spans="1:9" ht="45" x14ac:dyDescent="0.25">
      <c r="A429" s="2">
        <v>426</v>
      </c>
      <c r="B429" s="3" t="s">
        <v>293</v>
      </c>
      <c r="C429" s="3" t="s">
        <v>1400</v>
      </c>
      <c r="D429" s="3" t="s">
        <v>1401</v>
      </c>
      <c r="E429" s="2">
        <v>2018</v>
      </c>
      <c r="F429" s="3" t="s">
        <v>1402</v>
      </c>
      <c r="G429" s="2" t="s">
        <v>12</v>
      </c>
      <c r="H429" s="3" t="s">
        <v>384</v>
      </c>
      <c r="I429" s="10" t="str">
        <f>HYPERLINK("http://dx.doi.org/10.17516/1997-1397-2018-11-5-535-549","http://dx.doi.org/10.17516/1997-1397-2018-11-5-535-549")</f>
        <v>http://dx.doi.org/10.17516/1997-1397-2018-11-5-535-549</v>
      </c>
    </row>
    <row r="430" spans="1:9" ht="105" x14ac:dyDescent="0.25">
      <c r="A430" s="2">
        <v>427</v>
      </c>
      <c r="B430" s="3" t="s">
        <v>1403</v>
      </c>
      <c r="C430" s="3" t="s">
        <v>925</v>
      </c>
      <c r="D430" s="3" t="s">
        <v>1404</v>
      </c>
      <c r="E430" s="2">
        <v>2018</v>
      </c>
      <c r="F430" s="3" t="s">
        <v>1405</v>
      </c>
      <c r="G430" s="2" t="s">
        <v>12</v>
      </c>
      <c r="H430" s="3" t="s">
        <v>205</v>
      </c>
      <c r="I430" s="10" t="str">
        <f>HYPERLINK("http://dx.doi.org/10.1080/00397911.2018.1480042","http://dx.doi.org/10.1080/00397911.2018.1480042")</f>
        <v>http://dx.doi.org/10.1080/00397911.2018.1480042</v>
      </c>
    </row>
    <row r="431" spans="1:9" ht="120" x14ac:dyDescent="0.25">
      <c r="A431" s="2">
        <v>428</v>
      </c>
      <c r="B431" s="3" t="s">
        <v>1406</v>
      </c>
      <c r="C431" s="3" t="s">
        <v>45</v>
      </c>
      <c r="D431" s="3" t="s">
        <v>1407</v>
      </c>
      <c r="E431" s="2">
        <v>2023</v>
      </c>
      <c r="F431" s="3" t="s">
        <v>1408</v>
      </c>
      <c r="G431" s="2" t="s">
        <v>12</v>
      </c>
      <c r="H431" s="3" t="s">
        <v>1202</v>
      </c>
      <c r="I431" s="10" t="str">
        <f>HYPERLINK("http://dx.doi.org/10.1016/j.diamond.2023.110423","http://dx.doi.org/10.1016/j.diamond.2023.110423")</f>
        <v>http://dx.doi.org/10.1016/j.diamond.2023.110423</v>
      </c>
    </row>
    <row r="432" spans="1:9" ht="105" x14ac:dyDescent="0.25">
      <c r="A432" s="2">
        <v>429</v>
      </c>
      <c r="B432" s="3" t="s">
        <v>246</v>
      </c>
      <c r="C432" s="3" t="s">
        <v>1409</v>
      </c>
      <c r="D432" s="3" t="s">
        <v>1410</v>
      </c>
      <c r="E432" s="2">
        <v>2022</v>
      </c>
      <c r="F432" s="3" t="s">
        <v>421</v>
      </c>
      <c r="G432" s="2" t="s">
        <v>12</v>
      </c>
      <c r="H432" s="3" t="s">
        <v>639</v>
      </c>
      <c r="I432" s="10" t="s">
        <v>1411</v>
      </c>
    </row>
    <row r="433" spans="1:9" ht="135" x14ac:dyDescent="0.25">
      <c r="A433" s="2">
        <v>430</v>
      </c>
      <c r="B433" s="3" t="s">
        <v>1412</v>
      </c>
      <c r="C433" s="3" t="s">
        <v>1413</v>
      </c>
      <c r="D433" s="3" t="s">
        <v>1414</v>
      </c>
      <c r="E433" s="2">
        <v>2022</v>
      </c>
      <c r="F433" s="3" t="s">
        <v>1174</v>
      </c>
      <c r="G433" s="2" t="s">
        <v>12</v>
      </c>
      <c r="H433" s="3" t="s">
        <v>38</v>
      </c>
      <c r="I433" s="10" t="str">
        <f>HYPERLINK("http://dx.doi.org/10.2174/1570178618666210405151600","http://dx.doi.org/10.2174/1570178618666210405151600")</f>
        <v>http://dx.doi.org/10.2174/1570178618666210405151600</v>
      </c>
    </row>
    <row r="434" spans="1:9" ht="75" x14ac:dyDescent="0.25">
      <c r="A434" s="2">
        <v>431</v>
      </c>
      <c r="B434" s="3" t="s">
        <v>1415</v>
      </c>
      <c r="C434" s="3" t="s">
        <v>1238</v>
      </c>
      <c r="D434" s="3" t="s">
        <v>1416</v>
      </c>
      <c r="E434" s="2">
        <v>2020</v>
      </c>
      <c r="F434" s="3" t="s">
        <v>941</v>
      </c>
      <c r="G434" s="2" t="s">
        <v>12</v>
      </c>
      <c r="H434" s="3" t="s">
        <v>525</v>
      </c>
      <c r="I434" s="10" t="str">
        <f>HYPERLINK("http://dx.doi.org/10.1063/5.0017051","http://dx.doi.org/10.1063/5.0017051")</f>
        <v>http://dx.doi.org/10.1063/5.0017051</v>
      </c>
    </row>
    <row r="435" spans="1:9" ht="90" x14ac:dyDescent="0.25">
      <c r="A435" s="2">
        <v>432</v>
      </c>
      <c r="B435" s="3" t="s">
        <v>246</v>
      </c>
      <c r="C435" s="3" t="s">
        <v>1223</v>
      </c>
      <c r="D435" s="3" t="s">
        <v>1417</v>
      </c>
      <c r="E435" s="2">
        <v>2019</v>
      </c>
      <c r="F435" s="3" t="s">
        <v>1418</v>
      </c>
      <c r="G435" s="2" t="s">
        <v>12</v>
      </c>
      <c r="H435" s="3" t="s">
        <v>1419</v>
      </c>
      <c r="I435" s="10" t="str">
        <f>HYPERLINK("http://dx.doi.org/10.22055/jacm.2018.25397.1259","http://dx.doi.org/10.22055/jacm.2018.25397.1259")</f>
        <v>http://dx.doi.org/10.22055/jacm.2018.25397.1259</v>
      </c>
    </row>
    <row r="436" spans="1:9" ht="75" x14ac:dyDescent="0.25">
      <c r="A436" s="2">
        <v>433</v>
      </c>
      <c r="B436" s="3" t="s">
        <v>1420</v>
      </c>
      <c r="C436" s="3" t="s">
        <v>1052</v>
      </c>
      <c r="D436" s="3" t="s">
        <v>1421</v>
      </c>
      <c r="E436" s="2">
        <v>2019</v>
      </c>
      <c r="F436" s="3" t="s">
        <v>1422</v>
      </c>
      <c r="G436" s="2" t="s">
        <v>12</v>
      </c>
      <c r="H436" s="3" t="s">
        <v>1423</v>
      </c>
      <c r="I436" s="10" t="s">
        <v>1424</v>
      </c>
    </row>
    <row r="437" spans="1:9" ht="120" x14ac:dyDescent="0.25">
      <c r="A437" s="2">
        <v>434</v>
      </c>
      <c r="B437" s="3" t="s">
        <v>1425</v>
      </c>
      <c r="C437" s="3" t="s">
        <v>1390</v>
      </c>
      <c r="D437" s="3" t="s">
        <v>1426</v>
      </c>
      <c r="E437" s="2">
        <v>2018</v>
      </c>
      <c r="F437" s="3" t="s">
        <v>504</v>
      </c>
      <c r="G437" s="2" t="s">
        <v>12</v>
      </c>
      <c r="H437" s="3" t="s">
        <v>48</v>
      </c>
      <c r="I437" s="10" t="str">
        <f>HYPERLINK("http://dx.doi.org/10.1007/s11164-018-3353-9","http://dx.doi.org/10.1007/s11164-018-3353-9")</f>
        <v>http://dx.doi.org/10.1007/s11164-018-3353-9</v>
      </c>
    </row>
    <row r="438" spans="1:9" ht="45" x14ac:dyDescent="0.25">
      <c r="A438" s="2">
        <v>435</v>
      </c>
      <c r="B438" s="3" t="s">
        <v>1427</v>
      </c>
      <c r="C438" s="3" t="s">
        <v>510</v>
      </c>
      <c r="D438" s="3" t="s">
        <v>1428</v>
      </c>
      <c r="E438" s="2">
        <v>2022</v>
      </c>
      <c r="F438" s="3" t="s">
        <v>1100</v>
      </c>
      <c r="G438" s="2" t="s">
        <v>12</v>
      </c>
      <c r="H438" s="3" t="s">
        <v>799</v>
      </c>
      <c r="I438" s="10" t="str">
        <f>HYPERLINK("http://dx.doi.org/10.3390/electronics11203273","http://dx.doi.org/10.3390/electronics11203273")</f>
        <v>http://dx.doi.org/10.3390/electronics11203273</v>
      </c>
    </row>
    <row r="439" spans="1:9" ht="75" x14ac:dyDescent="0.25">
      <c r="A439" s="2">
        <v>436</v>
      </c>
      <c r="B439" s="3" t="s">
        <v>1429</v>
      </c>
      <c r="C439" s="3" t="s">
        <v>1238</v>
      </c>
      <c r="D439" s="3" t="s">
        <v>1430</v>
      </c>
      <c r="E439" s="2">
        <v>2022</v>
      </c>
      <c r="F439" s="3" t="s">
        <v>1431</v>
      </c>
      <c r="G439" s="2" t="s">
        <v>12</v>
      </c>
      <c r="H439" s="3" t="s">
        <v>435</v>
      </c>
      <c r="I439" s="10" t="str">
        <f>HYPERLINK("http://dx.doi.org/10.4103/ajprhc.ajprhc_77_22","http://dx.doi.org/10.4103/ajprhc.ajprhc_77_22")</f>
        <v>http://dx.doi.org/10.4103/ajprhc.ajprhc_77_22</v>
      </c>
    </row>
    <row r="440" spans="1:9" ht="105" x14ac:dyDescent="0.25">
      <c r="A440" s="2">
        <v>437</v>
      </c>
      <c r="B440" s="3" t="s">
        <v>1432</v>
      </c>
      <c r="C440" s="3" t="s">
        <v>1152</v>
      </c>
      <c r="D440" s="3" t="s">
        <v>1433</v>
      </c>
      <c r="E440" s="2">
        <v>2022</v>
      </c>
      <c r="F440" s="3" t="s">
        <v>1434</v>
      </c>
      <c r="G440" s="2" t="s">
        <v>12</v>
      </c>
      <c r="H440" s="3" t="s">
        <v>485</v>
      </c>
      <c r="I440" s="10" t="str">
        <f>HYPERLINK("http://dx.doi.org/10.5530/ijper.56.1.16","http://dx.doi.org/10.5530/ijper.56.1.16")</f>
        <v>http://dx.doi.org/10.5530/ijper.56.1.16</v>
      </c>
    </row>
    <row r="441" spans="1:9" ht="75" x14ac:dyDescent="0.25">
      <c r="A441" s="2">
        <v>438</v>
      </c>
      <c r="B441" s="3" t="s">
        <v>1435</v>
      </c>
      <c r="C441" s="3" t="s">
        <v>1152</v>
      </c>
      <c r="D441" s="3" t="s">
        <v>1436</v>
      </c>
      <c r="E441" s="2">
        <v>2021</v>
      </c>
      <c r="F441" s="3" t="s">
        <v>394</v>
      </c>
      <c r="G441" s="2" t="s">
        <v>12</v>
      </c>
      <c r="H441" s="3" t="s">
        <v>747</v>
      </c>
      <c r="I441" s="10" t="str">
        <f>HYPERLINK("http://dx.doi.org/10.1016/j.ceramint.2021.01.267","http://dx.doi.org/10.1016/j.ceramint.2021.01.267")</f>
        <v>http://dx.doi.org/10.1016/j.ceramint.2021.01.267</v>
      </c>
    </row>
    <row r="442" spans="1:9" ht="60" x14ac:dyDescent="0.25">
      <c r="A442" s="2">
        <v>439</v>
      </c>
      <c r="B442" s="3" t="s">
        <v>1437</v>
      </c>
      <c r="C442" s="3" t="s">
        <v>351</v>
      </c>
      <c r="D442" s="3" t="s">
        <v>1438</v>
      </c>
      <c r="E442" s="2">
        <v>2019</v>
      </c>
      <c r="F442" s="3" t="s">
        <v>261</v>
      </c>
      <c r="G442" s="2" t="s">
        <v>12</v>
      </c>
      <c r="H442" s="3" t="s">
        <v>33</v>
      </c>
      <c r="I442" s="10" t="str">
        <f>HYPERLINK("http://dx.doi.org/10.1016/j.jiec.2019.04.030","http://dx.doi.org/10.1016/j.jiec.2019.04.030")</f>
        <v>http://dx.doi.org/10.1016/j.jiec.2019.04.030</v>
      </c>
    </row>
    <row r="443" spans="1:9" ht="75" x14ac:dyDescent="0.25">
      <c r="A443" s="2">
        <v>440</v>
      </c>
      <c r="B443" s="3" t="s">
        <v>1439</v>
      </c>
      <c r="C443" s="3" t="s">
        <v>1390</v>
      </c>
      <c r="D443" s="3" t="s">
        <v>1440</v>
      </c>
      <c r="E443" s="2">
        <v>2019</v>
      </c>
      <c r="F443" s="3" t="s">
        <v>1441</v>
      </c>
      <c r="G443" s="2" t="s">
        <v>12</v>
      </c>
      <c r="H443" s="3" t="s">
        <v>91</v>
      </c>
      <c r="I443" s="10" t="str">
        <f>HYPERLINK("http://dx.doi.org/10.1080/24701394.2019.1611798","http://dx.doi.org/10.1080/24701394.2019.1611798")</f>
        <v>http://dx.doi.org/10.1080/24701394.2019.1611798</v>
      </c>
    </row>
    <row r="444" spans="1:9" ht="90" x14ac:dyDescent="0.25">
      <c r="A444" s="2">
        <v>441</v>
      </c>
      <c r="B444" s="3" t="s">
        <v>1442</v>
      </c>
      <c r="C444" s="3" t="s">
        <v>211</v>
      </c>
      <c r="D444" s="3" t="s">
        <v>1443</v>
      </c>
      <c r="E444" s="2">
        <v>2019</v>
      </c>
      <c r="F444" s="3" t="s">
        <v>1444</v>
      </c>
      <c r="G444" s="2" t="s">
        <v>12</v>
      </c>
      <c r="H444" s="3" t="s">
        <v>1445</v>
      </c>
      <c r="I444" s="10" t="str">
        <f>HYPERLINK("http://dx.doi.org/10.21136/MB.2018.0135-17","http://dx.doi.org/10.21136/MB.2018.0135-17")</f>
        <v>http://dx.doi.org/10.21136/MB.2018.0135-17</v>
      </c>
    </row>
    <row r="445" spans="1:9" ht="75" x14ac:dyDescent="0.25">
      <c r="A445" s="2">
        <v>442</v>
      </c>
      <c r="B445" s="3" t="s">
        <v>1446</v>
      </c>
      <c r="C445" s="3" t="s">
        <v>60</v>
      </c>
      <c r="D445" s="3" t="s">
        <v>1447</v>
      </c>
      <c r="E445" s="2">
        <v>2018</v>
      </c>
      <c r="F445" s="3" t="s">
        <v>1422</v>
      </c>
      <c r="G445" s="2" t="s">
        <v>12</v>
      </c>
      <c r="H445" s="3" t="s">
        <v>48</v>
      </c>
      <c r="I445" s="10" t="str">
        <f>HYPERLINK("http://dx.doi.org/10.1007/s10948-017-4515-5","http://dx.doi.org/10.1007/s10948-017-4515-5")</f>
        <v>http://dx.doi.org/10.1007/s10948-017-4515-5</v>
      </c>
    </row>
    <row r="446" spans="1:9" ht="120" x14ac:dyDescent="0.25">
      <c r="A446" s="2">
        <v>443</v>
      </c>
      <c r="B446" s="3" t="s">
        <v>1448</v>
      </c>
      <c r="C446" s="3" t="s">
        <v>1449</v>
      </c>
      <c r="D446" s="3" t="s">
        <v>1450</v>
      </c>
      <c r="E446" s="2">
        <v>2018</v>
      </c>
      <c r="F446" s="3" t="s">
        <v>1298</v>
      </c>
      <c r="G446" s="2" t="s">
        <v>12</v>
      </c>
      <c r="H446" s="3" t="s">
        <v>1451</v>
      </c>
      <c r="I446" s="10" t="s">
        <v>1452</v>
      </c>
    </row>
    <row r="447" spans="1:9" ht="105" x14ac:dyDescent="0.25">
      <c r="A447" s="2">
        <v>444</v>
      </c>
      <c r="B447" s="3" t="s">
        <v>1453</v>
      </c>
      <c r="C447" s="3" t="s">
        <v>1238</v>
      </c>
      <c r="D447" s="3" t="s">
        <v>1454</v>
      </c>
      <c r="E447" s="2">
        <v>2023</v>
      </c>
      <c r="F447" s="3" t="s">
        <v>1455</v>
      </c>
      <c r="G447" s="2" t="s">
        <v>12</v>
      </c>
      <c r="H447" s="3" t="s">
        <v>23</v>
      </c>
      <c r="I447" s="10" t="str">
        <f>HYPERLINK("http://dx.doi.org/10.1002/cbdv.202301081","http://dx.doi.org/10.1002/cbdv.202301081")</f>
        <v>http://dx.doi.org/10.1002/cbdv.202301081</v>
      </c>
    </row>
    <row r="448" spans="1:9" ht="90" x14ac:dyDescent="0.25">
      <c r="A448" s="2">
        <v>445</v>
      </c>
      <c r="B448" s="3" t="s">
        <v>146</v>
      </c>
      <c r="C448" s="3" t="s">
        <v>1456</v>
      </c>
      <c r="D448" s="3" t="s">
        <v>1457</v>
      </c>
      <c r="E448" s="2">
        <v>2022</v>
      </c>
      <c r="F448" s="3" t="s">
        <v>1023</v>
      </c>
      <c r="G448" s="2" t="s">
        <v>12</v>
      </c>
      <c r="H448" s="3" t="s">
        <v>1202</v>
      </c>
      <c r="I448" s="10" t="str">
        <f>HYPERLINK("http://dx.doi.org/10.1016/j.matchemphys.2022.126843","http://dx.doi.org/10.1016/j.matchemphys.2022.126843")</f>
        <v>http://dx.doi.org/10.1016/j.matchemphys.2022.126843</v>
      </c>
    </row>
    <row r="449" spans="1:9" ht="45" x14ac:dyDescent="0.25">
      <c r="A449" s="2">
        <v>446</v>
      </c>
      <c r="B449" s="3" t="s">
        <v>1458</v>
      </c>
      <c r="C449" s="3" t="s">
        <v>1459</v>
      </c>
      <c r="D449" s="3" t="s">
        <v>1460</v>
      </c>
      <c r="E449" s="2">
        <v>2022</v>
      </c>
      <c r="F449" s="3" t="s">
        <v>1461</v>
      </c>
      <c r="G449" s="2" t="s">
        <v>12</v>
      </c>
      <c r="H449" s="3" t="s">
        <v>1462</v>
      </c>
      <c r="I449" s="10" t="str">
        <f>HYPERLINK("http://dx.doi.org/10.46989/001c.37958","http://dx.doi.org/10.46989/001c.37958")</f>
        <v>http://dx.doi.org/10.46989/001c.37958</v>
      </c>
    </row>
    <row r="450" spans="1:9" ht="75" x14ac:dyDescent="0.25">
      <c r="A450" s="2">
        <v>447</v>
      </c>
      <c r="B450" s="3" t="s">
        <v>1463</v>
      </c>
      <c r="C450" s="3" t="s">
        <v>1464</v>
      </c>
      <c r="D450" s="3" t="s">
        <v>1465</v>
      </c>
      <c r="E450" s="2">
        <v>2022</v>
      </c>
      <c r="F450" s="3" t="s">
        <v>1100</v>
      </c>
      <c r="G450" s="2" t="s">
        <v>12</v>
      </c>
      <c r="H450" s="3" t="s">
        <v>91</v>
      </c>
      <c r="I450" s="10" t="str">
        <f>HYPERLINK("http://dx.doi.org/10.1080/10242422.2021.2002305","http://dx.doi.org/10.1080/10242422.2021.2002305")</f>
        <v>http://dx.doi.org/10.1080/10242422.2021.2002305</v>
      </c>
    </row>
    <row r="451" spans="1:9" ht="90" x14ac:dyDescent="0.25">
      <c r="A451" s="2">
        <v>448</v>
      </c>
      <c r="B451" s="3" t="s">
        <v>1466</v>
      </c>
      <c r="C451" s="3" t="s">
        <v>1467</v>
      </c>
      <c r="D451" s="3" t="s">
        <v>1468</v>
      </c>
      <c r="E451" s="2">
        <v>2020</v>
      </c>
      <c r="F451" s="3" t="s">
        <v>236</v>
      </c>
      <c r="G451" s="2" t="s">
        <v>12</v>
      </c>
      <c r="H451" s="3" t="s">
        <v>48</v>
      </c>
      <c r="I451" s="10" t="str">
        <f>HYPERLINK("http://dx.doi.org/10.1007/s12668-020-00771-9","http://dx.doi.org/10.1007/s12668-020-00771-9")</f>
        <v>http://dx.doi.org/10.1007/s12668-020-00771-9</v>
      </c>
    </row>
    <row r="452" spans="1:9" ht="105" x14ac:dyDescent="0.25">
      <c r="A452" s="2">
        <v>449</v>
      </c>
      <c r="B452" s="3" t="s">
        <v>1469</v>
      </c>
      <c r="C452" s="3" t="s">
        <v>45</v>
      </c>
      <c r="D452" s="3" t="s">
        <v>1470</v>
      </c>
      <c r="E452" s="2">
        <v>2020</v>
      </c>
      <c r="F452" s="3" t="s">
        <v>1431</v>
      </c>
      <c r="G452" s="2" t="s">
        <v>12</v>
      </c>
      <c r="H452" s="3" t="s">
        <v>48</v>
      </c>
      <c r="I452" s="10" t="str">
        <f>HYPERLINK("http://dx.doi.org/10.1007/s10854-020-03684-1","http://dx.doi.org/10.1007/s10854-020-03684-1")</f>
        <v>http://dx.doi.org/10.1007/s10854-020-03684-1</v>
      </c>
    </row>
    <row r="453" spans="1:9" ht="60" x14ac:dyDescent="0.25">
      <c r="A453" s="2">
        <v>450</v>
      </c>
      <c r="B453" s="3" t="s">
        <v>1471</v>
      </c>
      <c r="C453" s="3" t="s">
        <v>1472</v>
      </c>
      <c r="D453" s="3" t="s">
        <v>1473</v>
      </c>
      <c r="E453" s="2">
        <v>2020</v>
      </c>
      <c r="F453" s="3" t="s">
        <v>1093</v>
      </c>
      <c r="G453" s="2" t="s">
        <v>12</v>
      </c>
      <c r="H453" s="3" t="s">
        <v>18</v>
      </c>
      <c r="I453" s="10" t="str">
        <f>HYPERLINK("http://dx.doi.org/10.1007/978-3-030-37051-0_10","http://dx.doi.org/10.1007/978-3-030-37051-0_10")</f>
        <v>http://dx.doi.org/10.1007/978-3-030-37051-0_10</v>
      </c>
    </row>
    <row r="454" spans="1:9" ht="75" x14ac:dyDescent="0.25">
      <c r="A454" s="2">
        <v>451</v>
      </c>
      <c r="B454" s="3" t="s">
        <v>1474</v>
      </c>
      <c r="C454" s="3" t="s">
        <v>1475</v>
      </c>
      <c r="D454" s="3" t="s">
        <v>1476</v>
      </c>
      <c r="E454" s="2">
        <v>2018</v>
      </c>
      <c r="F454" s="3" t="s">
        <v>261</v>
      </c>
      <c r="G454" s="2" t="s">
        <v>12</v>
      </c>
      <c r="H454" s="3" t="s">
        <v>530</v>
      </c>
      <c r="I454" s="10" t="str">
        <f>HYPERLINK("http://dx.doi.org/10.1515/hc-2017-0067","http://dx.doi.org/10.1515/hc-2017-0067")</f>
        <v>http://dx.doi.org/10.1515/hc-2017-0067</v>
      </c>
    </row>
    <row r="455" spans="1:9" ht="75" x14ac:dyDescent="0.25">
      <c r="A455" s="2">
        <v>452</v>
      </c>
      <c r="B455" s="3" t="s">
        <v>1477</v>
      </c>
      <c r="C455" s="3" t="s">
        <v>1478</v>
      </c>
      <c r="D455" s="3" t="s">
        <v>1479</v>
      </c>
      <c r="E455" s="2">
        <v>2021</v>
      </c>
      <c r="F455" s="3" t="s">
        <v>837</v>
      </c>
      <c r="G455" s="2" t="s">
        <v>12</v>
      </c>
      <c r="H455" s="3" t="s">
        <v>439</v>
      </c>
      <c r="I455" s="10" t="str">
        <f>HYPERLINK("http://dx.doi.org/10.1007/s00339-021-04511-y","http://dx.doi.org/10.1007/s00339-021-04511-y")</f>
        <v>http://dx.doi.org/10.1007/s00339-021-04511-y</v>
      </c>
    </row>
    <row r="456" spans="1:9" ht="90" x14ac:dyDescent="0.25">
      <c r="A456" s="2">
        <v>453</v>
      </c>
      <c r="B456" s="3" t="s">
        <v>1480</v>
      </c>
      <c r="C456" s="3" t="s">
        <v>461</v>
      </c>
      <c r="D456" s="3" t="s">
        <v>1481</v>
      </c>
      <c r="E456" s="2">
        <v>2020</v>
      </c>
      <c r="F456" s="3" t="s">
        <v>941</v>
      </c>
      <c r="G456" s="2" t="s">
        <v>12</v>
      </c>
      <c r="H456" s="3" t="s">
        <v>747</v>
      </c>
      <c r="I456" s="10" t="str">
        <f>HYPERLINK("http://dx.doi.org/10.1016/j.ceramint.2020.03.081","http://dx.doi.org/10.1016/j.ceramint.2020.03.081")</f>
        <v>http://dx.doi.org/10.1016/j.ceramint.2020.03.081</v>
      </c>
    </row>
    <row r="457" spans="1:9" ht="75" x14ac:dyDescent="0.25">
      <c r="A457" s="2">
        <v>454</v>
      </c>
      <c r="B457" s="3" t="s">
        <v>1482</v>
      </c>
      <c r="C457" s="3" t="s">
        <v>1233</v>
      </c>
      <c r="D457" s="3" t="s">
        <v>1483</v>
      </c>
      <c r="E457" s="2">
        <v>2020</v>
      </c>
      <c r="F457" s="3" t="s">
        <v>319</v>
      </c>
      <c r="G457" s="2" t="s">
        <v>12</v>
      </c>
      <c r="H457" s="3" t="s">
        <v>205</v>
      </c>
      <c r="I457" s="10" t="str">
        <f>HYPERLINK("http://dx.doi.org/10.1080/00397911.2019.1692870","http://dx.doi.org/10.1080/00397911.2019.1692870")</f>
        <v>http://dx.doi.org/10.1080/00397911.2019.1692870</v>
      </c>
    </row>
    <row r="458" spans="1:9" ht="90" x14ac:dyDescent="0.25">
      <c r="A458" s="2">
        <v>455</v>
      </c>
      <c r="B458" s="3" t="s">
        <v>1484</v>
      </c>
      <c r="C458" s="3" t="s">
        <v>211</v>
      </c>
      <c r="D458" s="3" t="s">
        <v>1485</v>
      </c>
      <c r="E458" s="2">
        <v>2019</v>
      </c>
      <c r="F458" s="3" t="s">
        <v>704</v>
      </c>
      <c r="G458" s="2" t="s">
        <v>12</v>
      </c>
      <c r="H458" s="3" t="s">
        <v>91</v>
      </c>
      <c r="I458" s="10" t="str">
        <f>HYPERLINK("http://dx.doi.org/10.1080/10584587.2019.1674836","http://dx.doi.org/10.1080/10584587.2019.1674836")</f>
        <v>http://dx.doi.org/10.1080/10584587.2019.1674836</v>
      </c>
    </row>
    <row r="459" spans="1:9" ht="60" x14ac:dyDescent="0.25">
      <c r="A459" s="2">
        <v>456</v>
      </c>
      <c r="B459" s="3" t="s">
        <v>1486</v>
      </c>
      <c r="C459" s="3" t="s">
        <v>1487</v>
      </c>
      <c r="D459" s="3" t="s">
        <v>1488</v>
      </c>
      <c r="E459" s="2">
        <v>2019</v>
      </c>
      <c r="F459" s="3" t="s">
        <v>1330</v>
      </c>
      <c r="G459" s="2" t="s">
        <v>12</v>
      </c>
      <c r="H459" s="3" t="s">
        <v>48</v>
      </c>
      <c r="I459" s="10" t="str">
        <f>HYPERLINK("http://dx.doi.org/10.1007/s10948-018-4817-2","http://dx.doi.org/10.1007/s10948-018-4817-2")</f>
        <v>http://dx.doi.org/10.1007/s10948-018-4817-2</v>
      </c>
    </row>
    <row r="460" spans="1:9" ht="90" x14ac:dyDescent="0.25">
      <c r="A460" s="2">
        <v>457</v>
      </c>
      <c r="B460" s="3" t="s">
        <v>1489</v>
      </c>
      <c r="C460" s="3" t="s">
        <v>1490</v>
      </c>
      <c r="D460" s="3" t="s">
        <v>1491</v>
      </c>
      <c r="E460" s="2">
        <v>2023</v>
      </c>
      <c r="F460" s="3" t="s">
        <v>1431</v>
      </c>
      <c r="G460" s="2" t="s">
        <v>12</v>
      </c>
      <c r="H460" s="3" t="s">
        <v>560</v>
      </c>
      <c r="I460" s="10" t="str">
        <f>HYPERLINK("http://dx.doi.org/10.26713/cma.v14i1.2007","http://dx.doi.org/10.26713/cma.v14i1.2007")</f>
        <v>http://dx.doi.org/10.26713/cma.v14i1.2007</v>
      </c>
    </row>
    <row r="461" spans="1:9" ht="75" x14ac:dyDescent="0.25">
      <c r="A461" s="2">
        <v>458</v>
      </c>
      <c r="B461" s="3" t="s">
        <v>1492</v>
      </c>
      <c r="C461" s="3" t="s">
        <v>192</v>
      </c>
      <c r="D461" s="3" t="s">
        <v>1493</v>
      </c>
      <c r="E461" s="2">
        <v>2019</v>
      </c>
      <c r="F461" s="3" t="s">
        <v>994</v>
      </c>
      <c r="G461" s="2" t="s">
        <v>12</v>
      </c>
      <c r="H461" s="3" t="s">
        <v>84</v>
      </c>
      <c r="I461" s="10" t="str">
        <f>HYPERLINK("http://dx.doi.org/10.1142/S0217984918504249","http://dx.doi.org/10.1142/S0217984918504249")</f>
        <v>http://dx.doi.org/10.1142/S0217984918504249</v>
      </c>
    </row>
    <row r="462" spans="1:9" ht="45" x14ac:dyDescent="0.25">
      <c r="A462" s="2">
        <v>459</v>
      </c>
      <c r="B462" s="3" t="s">
        <v>1494</v>
      </c>
      <c r="C462" s="3" t="s">
        <v>1156</v>
      </c>
      <c r="D462" s="3" t="s">
        <v>1495</v>
      </c>
      <c r="E462" s="2">
        <v>2018</v>
      </c>
      <c r="F462" s="3" t="s">
        <v>261</v>
      </c>
      <c r="G462" s="2" t="s">
        <v>12</v>
      </c>
      <c r="H462" s="3" t="s">
        <v>277</v>
      </c>
      <c r="I462" s="10" t="str">
        <f>HYPERLINK("http://dx.doi.org/10.1016/j.matpr.2018.06.122","http://dx.doi.org/10.1016/j.matpr.2018.06.122")</f>
        <v>http://dx.doi.org/10.1016/j.matpr.2018.06.122</v>
      </c>
    </row>
    <row r="463" spans="1:9" ht="120" x14ac:dyDescent="0.25">
      <c r="A463" s="2">
        <v>460</v>
      </c>
      <c r="B463" s="3" t="s">
        <v>1496</v>
      </c>
      <c r="C463" s="3" t="s">
        <v>1497</v>
      </c>
      <c r="D463" s="3" t="s">
        <v>1498</v>
      </c>
      <c r="E463" s="2">
        <v>2021</v>
      </c>
      <c r="F463" s="3" t="s">
        <v>1352</v>
      </c>
      <c r="G463" s="2" t="s">
        <v>12</v>
      </c>
      <c r="H463" s="3" t="s">
        <v>48</v>
      </c>
      <c r="I463" s="10" t="str">
        <f>HYPERLINK("http://dx.doi.org/10.1007/s11164-021-04535-2","http://dx.doi.org/10.1007/s11164-021-04535-2")</f>
        <v>http://dx.doi.org/10.1007/s11164-021-04535-2</v>
      </c>
    </row>
    <row r="464" spans="1:9" ht="75" x14ac:dyDescent="0.25">
      <c r="A464" s="2">
        <v>461</v>
      </c>
      <c r="B464" s="3" t="s">
        <v>1499</v>
      </c>
      <c r="C464" s="3" t="s">
        <v>1500</v>
      </c>
      <c r="D464" s="3" t="s">
        <v>1501</v>
      </c>
      <c r="E464" s="2">
        <v>2020</v>
      </c>
      <c r="F464" s="3" t="s">
        <v>1502</v>
      </c>
      <c r="G464" s="2" t="s">
        <v>12</v>
      </c>
      <c r="H464" s="3" t="s">
        <v>181</v>
      </c>
      <c r="I464" s="10" t="str">
        <f>HYPERLINK("http://dx.doi.org/10.1016/j.bmcl.2020.127434","http://dx.doi.org/10.1016/j.bmcl.2020.127434")</f>
        <v>http://dx.doi.org/10.1016/j.bmcl.2020.127434</v>
      </c>
    </row>
    <row r="465" spans="1:9" ht="75" x14ac:dyDescent="0.25">
      <c r="A465" s="2">
        <v>462</v>
      </c>
      <c r="B465" s="3" t="s">
        <v>1503</v>
      </c>
      <c r="C465" s="3" t="s">
        <v>45</v>
      </c>
      <c r="D465" s="3" t="s">
        <v>1504</v>
      </c>
      <c r="E465" s="2">
        <v>2021</v>
      </c>
      <c r="F465" s="3" t="s">
        <v>941</v>
      </c>
      <c r="G465" s="2" t="s">
        <v>12</v>
      </c>
      <c r="H465" s="3" t="s">
        <v>23</v>
      </c>
      <c r="I465" s="10" t="str">
        <f>HYPERLINK("http://dx.doi.org/10.1002/masy.202100147","http://dx.doi.org/10.1002/masy.202100147")</f>
        <v>http://dx.doi.org/10.1002/masy.202100147</v>
      </c>
    </row>
    <row r="466" spans="1:9" ht="90" x14ac:dyDescent="0.25">
      <c r="A466" s="2">
        <v>463</v>
      </c>
      <c r="B466" s="3" t="s">
        <v>1505</v>
      </c>
      <c r="C466" s="3" t="s">
        <v>56</v>
      </c>
      <c r="D466" s="3" t="s">
        <v>1506</v>
      </c>
      <c r="E466" s="2">
        <v>2021</v>
      </c>
      <c r="F466" s="3" t="s">
        <v>1507</v>
      </c>
      <c r="G466" s="2" t="s">
        <v>12</v>
      </c>
      <c r="H466" s="3" t="s">
        <v>48</v>
      </c>
      <c r="I466" s="10" t="str">
        <f>HYPERLINK("http://dx.doi.org/10.1007/s11664-020-08723-5","http://dx.doi.org/10.1007/s11664-020-08723-5")</f>
        <v>http://dx.doi.org/10.1007/s11664-020-08723-5</v>
      </c>
    </row>
    <row r="467" spans="1:9" ht="60" x14ac:dyDescent="0.25">
      <c r="A467" s="2">
        <v>464</v>
      </c>
      <c r="B467" s="3" t="s">
        <v>1508</v>
      </c>
      <c r="C467" s="3" t="s">
        <v>1509</v>
      </c>
      <c r="D467" s="3" t="s">
        <v>1510</v>
      </c>
      <c r="E467" s="2">
        <v>2021</v>
      </c>
      <c r="F467" s="3" t="s">
        <v>638</v>
      </c>
      <c r="G467" s="2" t="s">
        <v>12</v>
      </c>
      <c r="H467" s="3" t="s">
        <v>277</v>
      </c>
      <c r="I467" s="10" t="str">
        <f>HYPERLINK("http://dx.doi.org/10.1016/j.apsusc.2020.148120","http://dx.doi.org/10.1016/j.apsusc.2020.148120")</f>
        <v>http://dx.doi.org/10.1016/j.apsusc.2020.148120</v>
      </c>
    </row>
    <row r="468" spans="1:9" ht="60" x14ac:dyDescent="0.25">
      <c r="A468" s="2">
        <v>465</v>
      </c>
      <c r="B468" s="3" t="s">
        <v>1511</v>
      </c>
      <c r="C468" s="3" t="s">
        <v>1512</v>
      </c>
      <c r="D468" s="3" t="s">
        <v>1513</v>
      </c>
      <c r="E468" s="2">
        <v>2019</v>
      </c>
      <c r="F468" s="3" t="s">
        <v>559</v>
      </c>
      <c r="G468" s="2" t="s">
        <v>12</v>
      </c>
      <c r="H468" s="3" t="s">
        <v>1125</v>
      </c>
      <c r="I468" s="10" t="str">
        <f>HYPERLINK("http://dx.doi.org/10.11646/phytotaxa.427.4.7","http://dx.doi.org/10.11646/phytotaxa.427.4.7")</f>
        <v>http://dx.doi.org/10.11646/phytotaxa.427.4.7</v>
      </c>
    </row>
    <row r="469" spans="1:9" ht="60" x14ac:dyDescent="0.25">
      <c r="A469" s="2">
        <v>466</v>
      </c>
      <c r="B469" s="3" t="s">
        <v>1514</v>
      </c>
      <c r="C469" s="3" t="s">
        <v>1490</v>
      </c>
      <c r="D469" s="3" t="s">
        <v>1515</v>
      </c>
      <c r="E469" s="2">
        <v>2019</v>
      </c>
      <c r="F469" s="3" t="s">
        <v>1516</v>
      </c>
      <c r="G469" s="2" t="s">
        <v>12</v>
      </c>
      <c r="H469" s="3" t="s">
        <v>91</v>
      </c>
      <c r="I469" s="10" t="str">
        <f>HYPERLINK("http://dx.doi.org/10.1080/10584587.2019.1674830","http://dx.doi.org/10.1080/10584587.2019.1674830")</f>
        <v>http://dx.doi.org/10.1080/10584587.2019.1674830</v>
      </c>
    </row>
    <row r="470" spans="1:9" ht="105" x14ac:dyDescent="0.25">
      <c r="A470" s="2">
        <v>467</v>
      </c>
      <c r="B470" s="3" t="s">
        <v>1517</v>
      </c>
      <c r="C470" s="3" t="s">
        <v>1518</v>
      </c>
      <c r="D470" s="3" t="s">
        <v>1519</v>
      </c>
      <c r="E470" s="2">
        <v>2021</v>
      </c>
      <c r="F470" s="3" t="s">
        <v>1330</v>
      </c>
      <c r="G470" s="2" t="s">
        <v>12</v>
      </c>
      <c r="H470" s="3" t="s">
        <v>277</v>
      </c>
      <c r="I470" s="10" t="str">
        <f>HYPERLINK("http://dx.doi.org/10.1016/j.molliq.2021.117113","http://dx.doi.org/10.1016/j.molliq.2021.117113")</f>
        <v>http://dx.doi.org/10.1016/j.molliq.2021.117113</v>
      </c>
    </row>
    <row r="471" spans="1:9" ht="105" x14ac:dyDescent="0.25">
      <c r="A471" s="2">
        <v>468</v>
      </c>
      <c r="B471" s="3" t="s">
        <v>1520</v>
      </c>
      <c r="C471" s="3" t="s">
        <v>1521</v>
      </c>
      <c r="D471" s="3" t="s">
        <v>1522</v>
      </c>
      <c r="E471" s="2">
        <v>2021</v>
      </c>
      <c r="F471" s="3" t="s">
        <v>1000</v>
      </c>
      <c r="G471" s="2" t="s">
        <v>12</v>
      </c>
      <c r="H471" s="3" t="s">
        <v>48</v>
      </c>
      <c r="I471" s="10" t="str">
        <f>HYPERLINK("http://dx.doi.org/10.1007/s11664-021-09111-3","http://dx.doi.org/10.1007/s11664-021-09111-3")</f>
        <v>http://dx.doi.org/10.1007/s11664-021-09111-3</v>
      </c>
    </row>
    <row r="472" spans="1:9" ht="75" x14ac:dyDescent="0.25">
      <c r="A472" s="2">
        <v>469</v>
      </c>
      <c r="B472" s="3" t="s">
        <v>1523</v>
      </c>
      <c r="C472" s="3" t="s">
        <v>1079</v>
      </c>
      <c r="D472" s="3" t="s">
        <v>1524</v>
      </c>
      <c r="E472" s="2">
        <v>2021</v>
      </c>
      <c r="F472" s="3" t="s">
        <v>504</v>
      </c>
      <c r="G472" s="2" t="s">
        <v>12</v>
      </c>
      <c r="H472" s="3" t="s">
        <v>439</v>
      </c>
      <c r="I472" s="10" t="str">
        <f>HYPERLINK("http://dx.doi.org/10.1007/s00339-021-04288-0","http://dx.doi.org/10.1007/s00339-021-04288-0")</f>
        <v>http://dx.doi.org/10.1007/s00339-021-04288-0</v>
      </c>
    </row>
    <row r="473" spans="1:9" ht="90" x14ac:dyDescent="0.25">
      <c r="A473" s="2">
        <v>470</v>
      </c>
      <c r="B473" s="3" t="s">
        <v>1525</v>
      </c>
      <c r="C473" s="3" t="s">
        <v>1526</v>
      </c>
      <c r="D473" s="3" t="s">
        <v>1527</v>
      </c>
      <c r="E473" s="2">
        <v>2020</v>
      </c>
      <c r="F473" s="3" t="s">
        <v>504</v>
      </c>
      <c r="G473" s="2" t="s">
        <v>12</v>
      </c>
      <c r="H473" s="3" t="s">
        <v>439</v>
      </c>
      <c r="I473" s="10" t="str">
        <f>HYPERLINK("http://dx.doi.org/10.1007/s00339-020-04053-9","http://dx.doi.org/10.1007/s00339-020-04053-9")</f>
        <v>http://dx.doi.org/10.1007/s00339-020-04053-9</v>
      </c>
    </row>
    <row r="474" spans="1:9" ht="60" x14ac:dyDescent="0.25">
      <c r="A474" s="2">
        <v>471</v>
      </c>
      <c r="B474" s="3" t="s">
        <v>1528</v>
      </c>
      <c r="C474" s="3" t="s">
        <v>366</v>
      </c>
      <c r="D474" s="3" t="s">
        <v>1529</v>
      </c>
      <c r="E474" s="2">
        <v>2020</v>
      </c>
      <c r="F474" s="3">
        <v>9780429343698</v>
      </c>
      <c r="G474" s="2" t="s">
        <v>12</v>
      </c>
      <c r="H474" s="3" t="s">
        <v>260</v>
      </c>
      <c r="I474" s="11" t="s">
        <v>1530</v>
      </c>
    </row>
    <row r="475" spans="1:9" ht="75" x14ac:dyDescent="0.25">
      <c r="A475" s="2">
        <v>472</v>
      </c>
      <c r="B475" s="3" t="s">
        <v>1531</v>
      </c>
      <c r="C475" s="3" t="s">
        <v>1532</v>
      </c>
      <c r="D475" s="3" t="s">
        <v>1533</v>
      </c>
      <c r="E475" s="2">
        <v>2019</v>
      </c>
      <c r="F475" s="3" t="s">
        <v>1534</v>
      </c>
      <c r="G475" s="2" t="s">
        <v>12</v>
      </c>
      <c r="H475" s="3" t="s">
        <v>91</v>
      </c>
      <c r="I475" s="10" t="str">
        <f>HYPERLINK("http://dx.doi.org/10.1080/10584587.2019.1674827","http://dx.doi.org/10.1080/10584587.2019.1674827")</f>
        <v>http://dx.doi.org/10.1080/10584587.2019.1674827</v>
      </c>
    </row>
    <row r="476" spans="1:9" ht="75" x14ac:dyDescent="0.25">
      <c r="A476" s="2">
        <v>473</v>
      </c>
      <c r="B476" s="3" t="s">
        <v>1535</v>
      </c>
      <c r="C476" s="3" t="s">
        <v>1497</v>
      </c>
      <c r="D476" s="3" t="s">
        <v>1536</v>
      </c>
      <c r="E476" s="2">
        <v>2019</v>
      </c>
      <c r="F476" s="3" t="s">
        <v>1537</v>
      </c>
      <c r="G476" s="2" t="s">
        <v>12</v>
      </c>
      <c r="H476" s="3" t="s">
        <v>48</v>
      </c>
      <c r="I476" s="10" t="str">
        <f>HYPERLINK("http://dx.doi.org/10.1007/s10854-019-00963-4","http://dx.doi.org/10.1007/s10854-019-00963-4")</f>
        <v>http://dx.doi.org/10.1007/s10854-019-00963-4</v>
      </c>
    </row>
    <row r="477" spans="1:9" ht="90" x14ac:dyDescent="0.25">
      <c r="A477" s="2">
        <v>474</v>
      </c>
      <c r="B477" s="3" t="s">
        <v>1538</v>
      </c>
      <c r="C477" s="3" t="s">
        <v>1149</v>
      </c>
      <c r="D477" s="3" t="s">
        <v>1539</v>
      </c>
      <c r="E477" s="2">
        <v>2019</v>
      </c>
      <c r="F477" s="3" t="s">
        <v>1540</v>
      </c>
      <c r="G477" s="2" t="s">
        <v>12</v>
      </c>
      <c r="H477" s="3" t="s">
        <v>67</v>
      </c>
      <c r="I477" s="10" t="str">
        <f>HYPERLINK("http://dx.doi.org/10.1002/jhet.3467","http://dx.doi.org/10.1002/jhet.3467")</f>
        <v>http://dx.doi.org/10.1002/jhet.3467</v>
      </c>
    </row>
    <row r="478" spans="1:9" ht="105" x14ac:dyDescent="0.25">
      <c r="A478" s="2">
        <v>475</v>
      </c>
      <c r="B478" s="3" t="s">
        <v>1541</v>
      </c>
      <c r="C478" s="3" t="s">
        <v>1459</v>
      </c>
      <c r="D478" s="3" t="s">
        <v>1542</v>
      </c>
      <c r="E478" s="2">
        <v>2018</v>
      </c>
      <c r="F478" s="3" t="s">
        <v>744</v>
      </c>
      <c r="G478" s="2" t="s">
        <v>12</v>
      </c>
      <c r="H478" s="3" t="s">
        <v>48</v>
      </c>
      <c r="I478" s="10" t="str">
        <f>HYPERLINK("http://dx.doi.org/10.1007/s10854-018-8648-5","http://dx.doi.org/10.1007/s10854-018-8648-5")</f>
        <v>http://dx.doi.org/10.1007/s10854-018-8648-5</v>
      </c>
    </row>
    <row r="479" spans="1:9" ht="90" x14ac:dyDescent="0.25">
      <c r="A479" s="2">
        <v>476</v>
      </c>
      <c r="B479" s="3" t="s">
        <v>1543</v>
      </c>
      <c r="C479" s="3" t="s">
        <v>890</v>
      </c>
      <c r="D479" s="3" t="s">
        <v>1544</v>
      </c>
      <c r="E479" s="2">
        <v>2018</v>
      </c>
      <c r="F479" s="3" t="s">
        <v>559</v>
      </c>
      <c r="G479" s="2" t="s">
        <v>12</v>
      </c>
      <c r="H479" s="3" t="s">
        <v>48</v>
      </c>
      <c r="I479" s="10" t="str">
        <f>HYPERLINK("http://dx.doi.org/10.1007/s11664-018-6491-3","http://dx.doi.org/10.1007/s11664-018-6491-3")</f>
        <v>http://dx.doi.org/10.1007/s11664-018-6491-3</v>
      </c>
    </row>
    <row r="480" spans="1:9" ht="90" x14ac:dyDescent="0.25">
      <c r="A480" s="2">
        <v>477</v>
      </c>
      <c r="B480" s="3" t="s">
        <v>1545</v>
      </c>
      <c r="C480" s="3" t="s">
        <v>1546</v>
      </c>
      <c r="D480" s="3" t="s">
        <v>1547</v>
      </c>
      <c r="E480" s="2">
        <v>2023</v>
      </c>
      <c r="F480" s="3" t="s">
        <v>261</v>
      </c>
      <c r="G480" s="2" t="s">
        <v>12</v>
      </c>
      <c r="H480" s="3" t="s">
        <v>91</v>
      </c>
      <c r="I480" s="10" t="str">
        <f>HYPERLINK("http://dx.doi.org/10.1080/00319104.2022.2133115","http://dx.doi.org/10.1080/00319104.2022.2133115")</f>
        <v>http://dx.doi.org/10.1080/00319104.2022.2133115</v>
      </c>
    </row>
    <row r="481" spans="1:9" ht="60" x14ac:dyDescent="0.25">
      <c r="A481" s="2">
        <v>478</v>
      </c>
      <c r="B481" s="3" t="s">
        <v>1548</v>
      </c>
      <c r="C481" s="3" t="s">
        <v>340</v>
      </c>
      <c r="D481" s="3" t="s">
        <v>1549</v>
      </c>
      <c r="E481" s="2">
        <v>2021</v>
      </c>
      <c r="F481" s="3" t="s">
        <v>1550</v>
      </c>
      <c r="G481" s="2" t="s">
        <v>12</v>
      </c>
      <c r="H481" s="3" t="s">
        <v>799</v>
      </c>
      <c r="I481" s="10" t="str">
        <f>HYPERLINK("http://dx.doi.org/10.3390/axioms10040255","http://dx.doi.org/10.3390/axioms10040255")</f>
        <v>http://dx.doi.org/10.3390/axioms10040255</v>
      </c>
    </row>
    <row r="482" spans="1:9" ht="60" x14ac:dyDescent="0.25">
      <c r="A482" s="2">
        <v>479</v>
      </c>
      <c r="B482" s="3" t="s">
        <v>1551</v>
      </c>
      <c r="C482" s="3" t="s">
        <v>925</v>
      </c>
      <c r="D482" s="3" t="s">
        <v>1552</v>
      </c>
      <c r="E482" s="2">
        <v>2020</v>
      </c>
      <c r="F482" s="3" t="s">
        <v>1553</v>
      </c>
      <c r="G482" s="2" t="s">
        <v>12</v>
      </c>
      <c r="H482" s="3" t="s">
        <v>747</v>
      </c>
      <c r="I482" s="10" t="str">
        <f>HYPERLINK("http://dx.doi.org/10.1016/j.jgar.2020.01.011","http://dx.doi.org/10.1016/j.jgar.2020.01.011")</f>
        <v>http://dx.doi.org/10.1016/j.jgar.2020.01.011</v>
      </c>
    </row>
    <row r="483" spans="1:9" ht="90" x14ac:dyDescent="0.25">
      <c r="A483" s="2">
        <v>480</v>
      </c>
      <c r="B483" s="3" t="s">
        <v>1554</v>
      </c>
      <c r="C483" s="3" t="s">
        <v>1390</v>
      </c>
      <c r="D483" s="3" t="s">
        <v>1555</v>
      </c>
      <c r="E483" s="2">
        <v>2023</v>
      </c>
      <c r="F483" s="3" t="s">
        <v>910</v>
      </c>
      <c r="G483" s="2" t="s">
        <v>12</v>
      </c>
      <c r="H483" s="3" t="s">
        <v>48</v>
      </c>
      <c r="I483" s="10" t="str">
        <f>HYPERLINK("http://dx.doi.org/10.1007/s00214-023-03000-0","http://dx.doi.org/10.1007/s00214-023-03000-0")</f>
        <v>http://dx.doi.org/10.1007/s00214-023-03000-0</v>
      </c>
    </row>
    <row r="484" spans="1:9" ht="60" x14ac:dyDescent="0.25">
      <c r="A484" s="2">
        <v>481</v>
      </c>
      <c r="B484" s="3" t="s">
        <v>1556</v>
      </c>
      <c r="C484" s="3" t="s">
        <v>1497</v>
      </c>
      <c r="D484" s="3" t="s">
        <v>1557</v>
      </c>
      <c r="E484" s="2">
        <v>2023</v>
      </c>
      <c r="F484" s="3" t="s">
        <v>1558</v>
      </c>
      <c r="G484" s="2" t="s">
        <v>12</v>
      </c>
      <c r="H484" s="3" t="s">
        <v>48</v>
      </c>
      <c r="I484" s="10" t="str">
        <f>HYPERLINK("http://dx.doi.org/10.1007/s11164-022-04915-2","http://dx.doi.org/10.1007/s11164-022-04915-2")</f>
        <v>http://dx.doi.org/10.1007/s11164-022-04915-2</v>
      </c>
    </row>
    <row r="485" spans="1:9" ht="75" x14ac:dyDescent="0.25">
      <c r="A485" s="2">
        <v>482</v>
      </c>
      <c r="B485" s="3" t="s">
        <v>1484</v>
      </c>
      <c r="C485" s="3" t="s">
        <v>1052</v>
      </c>
      <c r="D485" s="3" t="s">
        <v>1559</v>
      </c>
      <c r="E485" s="2">
        <v>2022</v>
      </c>
      <c r="F485" s="3" t="s">
        <v>261</v>
      </c>
      <c r="G485" s="2" t="s">
        <v>12</v>
      </c>
      <c r="H485" s="3" t="s">
        <v>1027</v>
      </c>
      <c r="I485" s="10" t="str">
        <f>HYPERLINK("http://dx.doi.org/10.1007/s12034-022-02721-5","http://dx.doi.org/10.1007/s12034-022-02721-5")</f>
        <v>http://dx.doi.org/10.1007/s12034-022-02721-5</v>
      </c>
    </row>
    <row r="486" spans="1:9" ht="75" x14ac:dyDescent="0.25">
      <c r="A486" s="2">
        <v>483</v>
      </c>
      <c r="B486" s="3" t="s">
        <v>1560</v>
      </c>
      <c r="C486" s="3" t="s">
        <v>1459</v>
      </c>
      <c r="D486" s="3" t="s">
        <v>1561</v>
      </c>
      <c r="E486" s="2">
        <v>2022</v>
      </c>
      <c r="F486" s="3" t="s">
        <v>1054</v>
      </c>
      <c r="G486" s="2" t="s">
        <v>12</v>
      </c>
      <c r="H486" s="3" t="s">
        <v>277</v>
      </c>
      <c r="I486" s="10" t="str">
        <f>HYPERLINK("http://dx.doi.org/10.1016/j.jksuci.2018.09.018","http://dx.doi.org/10.1016/j.jksuci.2018.09.018")</f>
        <v>http://dx.doi.org/10.1016/j.jksuci.2018.09.018</v>
      </c>
    </row>
    <row r="487" spans="1:9" ht="120" x14ac:dyDescent="0.25">
      <c r="A487" s="2">
        <v>484</v>
      </c>
      <c r="B487" s="3" t="s">
        <v>1562</v>
      </c>
      <c r="C487" s="3" t="s">
        <v>1413</v>
      </c>
      <c r="D487" s="3" t="s">
        <v>1563</v>
      </c>
      <c r="E487" s="2">
        <v>2021</v>
      </c>
      <c r="F487" s="3" t="s">
        <v>1564</v>
      </c>
      <c r="G487" s="2" t="s">
        <v>12</v>
      </c>
      <c r="H487" s="3" t="s">
        <v>583</v>
      </c>
      <c r="I487" s="10" t="str">
        <f>HYPERLINK("http://dx.doi.org/10.1155/2021/5522574","http://dx.doi.org/10.1155/2021/5522574")</f>
        <v>http://dx.doi.org/10.1155/2021/5522574</v>
      </c>
    </row>
    <row r="488" spans="1:9" ht="90" x14ac:dyDescent="0.25">
      <c r="A488" s="2">
        <v>485</v>
      </c>
      <c r="B488" s="3" t="s">
        <v>1565</v>
      </c>
      <c r="C488" s="3" t="s">
        <v>1566</v>
      </c>
      <c r="D488" s="3" t="s">
        <v>1567</v>
      </c>
      <c r="E488" s="2">
        <v>2021</v>
      </c>
      <c r="F488" s="3" t="s">
        <v>1568</v>
      </c>
      <c r="G488" s="2" t="s">
        <v>12</v>
      </c>
      <c r="H488" s="3" t="s">
        <v>485</v>
      </c>
      <c r="I488" s="10" t="str">
        <f>HYPERLINK("http://dx.doi.org/10.5530/ijper.55.2.81","http://dx.doi.org/10.5530/ijper.55.2.81")</f>
        <v>http://dx.doi.org/10.5530/ijper.55.2.81</v>
      </c>
    </row>
    <row r="489" spans="1:9" ht="75" x14ac:dyDescent="0.25">
      <c r="A489" s="2">
        <v>486</v>
      </c>
      <c r="B489" s="3" t="s">
        <v>1569</v>
      </c>
      <c r="C489" s="3" t="s">
        <v>211</v>
      </c>
      <c r="D489" s="3" t="s">
        <v>1570</v>
      </c>
      <c r="E489" s="2">
        <v>2018</v>
      </c>
      <c r="F489" s="3" t="s">
        <v>757</v>
      </c>
      <c r="G489" s="2" t="s">
        <v>12</v>
      </c>
      <c r="H489" s="3" t="s">
        <v>48</v>
      </c>
      <c r="I489" s="10" t="str">
        <f>HYPERLINK("http://dx.doi.org/10.1007/s10948-018-4565-3","http://dx.doi.org/10.1007/s10948-018-4565-3")</f>
        <v>http://dx.doi.org/10.1007/s10948-018-4565-3</v>
      </c>
    </row>
    <row r="490" spans="1:9" ht="90" x14ac:dyDescent="0.25">
      <c r="A490" s="2">
        <v>487</v>
      </c>
      <c r="B490" s="3" t="s">
        <v>1571</v>
      </c>
      <c r="C490" s="3" t="s">
        <v>1572</v>
      </c>
      <c r="D490" s="3" t="s">
        <v>1573</v>
      </c>
      <c r="E490" s="2">
        <v>2018</v>
      </c>
      <c r="F490" s="3" t="s">
        <v>261</v>
      </c>
      <c r="G490" s="2" t="s">
        <v>12</v>
      </c>
      <c r="H490" s="3" t="s">
        <v>48</v>
      </c>
      <c r="I490" s="10" t="str">
        <f>HYPERLINK("http://dx.doi.org/10.1007/s10854-018-9668-x","http://dx.doi.org/10.1007/s10854-018-9668-x")</f>
        <v>http://dx.doi.org/10.1007/s10854-018-9668-x</v>
      </c>
    </row>
    <row r="491" spans="1:9" ht="105" x14ac:dyDescent="0.25">
      <c r="A491" s="2">
        <v>488</v>
      </c>
      <c r="B491" s="3" t="s">
        <v>1574</v>
      </c>
      <c r="C491" s="3" t="s">
        <v>275</v>
      </c>
      <c r="D491" s="3" t="s">
        <v>1575</v>
      </c>
      <c r="E491" s="2">
        <v>2023</v>
      </c>
      <c r="F491" s="3" t="s">
        <v>1576</v>
      </c>
      <c r="G491" s="2" t="s">
        <v>12</v>
      </c>
      <c r="H491" s="3" t="s">
        <v>1577</v>
      </c>
      <c r="I491" s="10" t="str">
        <f>HYPERLINK("http://dx.doi.org/10.1007/s12648-022-02487-w","http://dx.doi.org/10.1007/s12648-022-02487-w")</f>
        <v>http://dx.doi.org/10.1007/s12648-022-02487-w</v>
      </c>
    </row>
    <row r="492" spans="1:9" ht="60" x14ac:dyDescent="0.25">
      <c r="A492" s="2">
        <v>489</v>
      </c>
      <c r="B492" s="3" t="s">
        <v>1578</v>
      </c>
      <c r="C492" s="3" t="s">
        <v>81</v>
      </c>
      <c r="D492" s="3" t="s">
        <v>1579</v>
      </c>
      <c r="E492" s="2">
        <v>2020</v>
      </c>
      <c r="F492" s="3" t="s">
        <v>1580</v>
      </c>
      <c r="G492" s="2" t="s">
        <v>12</v>
      </c>
      <c r="H492" s="3" t="s">
        <v>453</v>
      </c>
      <c r="I492" s="10" t="str">
        <f>HYPERLINK("http://dx.doi.org/10.3389/fmats.2020.00081","http://dx.doi.org/10.3389/fmats.2020.00081")</f>
        <v>http://dx.doi.org/10.3389/fmats.2020.00081</v>
      </c>
    </row>
    <row r="493" spans="1:9" ht="105" x14ac:dyDescent="0.25">
      <c r="A493" s="2">
        <v>490</v>
      </c>
      <c r="B493" s="3" t="s">
        <v>1581</v>
      </c>
      <c r="C493" s="3" t="s">
        <v>1582</v>
      </c>
      <c r="D493" s="3" t="s">
        <v>1583</v>
      </c>
      <c r="E493" s="2">
        <v>2019</v>
      </c>
      <c r="F493" s="3" t="s">
        <v>1584</v>
      </c>
      <c r="G493" s="2" t="s">
        <v>12</v>
      </c>
      <c r="H493" s="3" t="s">
        <v>205</v>
      </c>
      <c r="I493" s="10" t="str">
        <f>HYPERLINK("http://dx.doi.org/10.1080/00397911.2019.1631849","http://dx.doi.org/10.1080/00397911.2019.1631849")</f>
        <v>http://dx.doi.org/10.1080/00397911.2019.1631849</v>
      </c>
    </row>
    <row r="494" spans="1:9" ht="105" x14ac:dyDescent="0.25">
      <c r="A494" s="2">
        <v>491</v>
      </c>
      <c r="B494" s="3" t="s">
        <v>1543</v>
      </c>
      <c r="C494" s="3" t="s">
        <v>1390</v>
      </c>
      <c r="D494" s="3" t="s">
        <v>1585</v>
      </c>
      <c r="E494" s="2">
        <v>2018</v>
      </c>
      <c r="F494" s="3" t="s">
        <v>394</v>
      </c>
      <c r="G494" s="2" t="s">
        <v>12</v>
      </c>
      <c r="H494" s="3" t="s">
        <v>525</v>
      </c>
      <c r="I494" s="10" t="str">
        <f>HYPERLINK("http://dx.doi.org/10.1063/1.5032950","http://dx.doi.org/10.1063/1.5032950")</f>
        <v>http://dx.doi.org/10.1063/1.5032950</v>
      </c>
    </row>
    <row r="495" spans="1:9" ht="90" x14ac:dyDescent="0.25">
      <c r="A495" s="2">
        <v>492</v>
      </c>
      <c r="B495" s="3" t="s">
        <v>1586</v>
      </c>
      <c r="C495" s="3" t="s">
        <v>1060</v>
      </c>
      <c r="D495" s="3" t="s">
        <v>1587</v>
      </c>
      <c r="E495" s="2">
        <v>2020</v>
      </c>
      <c r="F495" s="3" t="s">
        <v>1588</v>
      </c>
      <c r="G495" s="2" t="s">
        <v>12</v>
      </c>
      <c r="H495" s="3" t="s">
        <v>277</v>
      </c>
      <c r="I495" s="10" t="str">
        <f>HYPERLINK("http://dx.doi.org/10.1016/j.cplett.2020.138056","http://dx.doi.org/10.1016/j.cplett.2020.138056")</f>
        <v>http://dx.doi.org/10.1016/j.cplett.2020.138056</v>
      </c>
    </row>
    <row r="496" spans="1:9" ht="105" x14ac:dyDescent="0.25">
      <c r="A496" s="2">
        <v>493</v>
      </c>
      <c r="B496" s="3" t="s">
        <v>1589</v>
      </c>
      <c r="C496" s="3" t="s">
        <v>192</v>
      </c>
      <c r="D496" s="3" t="s">
        <v>1590</v>
      </c>
      <c r="E496" s="2">
        <v>2020</v>
      </c>
      <c r="F496" s="3" t="s">
        <v>1194</v>
      </c>
      <c r="G496" s="2" t="s">
        <v>12</v>
      </c>
      <c r="H496" s="3" t="s">
        <v>439</v>
      </c>
      <c r="I496" s="10" t="str">
        <f>HYPERLINK("http://dx.doi.org/10.1007/s00764-020-00015-2","http://dx.doi.org/10.1007/s00764-020-00015-2")</f>
        <v>http://dx.doi.org/10.1007/s00764-020-00015-2</v>
      </c>
    </row>
    <row r="497" spans="1:9" ht="90" x14ac:dyDescent="0.25">
      <c r="A497" s="2">
        <v>494</v>
      </c>
      <c r="B497" s="3" t="s">
        <v>1591</v>
      </c>
      <c r="C497" s="3" t="s">
        <v>1592</v>
      </c>
      <c r="D497" s="3" t="s">
        <v>1593</v>
      </c>
      <c r="E497" s="2">
        <v>2019</v>
      </c>
      <c r="F497" s="3" t="s">
        <v>1594</v>
      </c>
      <c r="G497" s="2" t="s">
        <v>12</v>
      </c>
      <c r="H497" s="3" t="s">
        <v>1595</v>
      </c>
      <c r="I497" s="10" t="str">
        <f>HYPERLINK("http://dx.doi.org/10.3906/mat-1810-80","http://dx.doi.org/10.3906/mat-1810-80")</f>
        <v>http://dx.doi.org/10.3906/mat-1810-80</v>
      </c>
    </row>
    <row r="498" spans="1:9" ht="90" x14ac:dyDescent="0.25">
      <c r="A498" s="2">
        <v>495</v>
      </c>
      <c r="B498" s="3" t="s">
        <v>1596</v>
      </c>
      <c r="C498" s="3" t="s">
        <v>192</v>
      </c>
      <c r="D498" s="3" t="s">
        <v>1597</v>
      </c>
      <c r="E498" s="2">
        <v>2018</v>
      </c>
      <c r="F498" s="3" t="s">
        <v>261</v>
      </c>
      <c r="G498" s="2" t="s">
        <v>12</v>
      </c>
      <c r="H498" s="3" t="s">
        <v>48</v>
      </c>
      <c r="I498" s="10" t="str">
        <f>HYPERLINK("http://dx.doi.org/10.1007/s11164-017-3132-z","http://dx.doi.org/10.1007/s11164-017-3132-z")</f>
        <v>http://dx.doi.org/10.1007/s11164-017-3132-z</v>
      </c>
    </row>
    <row r="499" spans="1:9" ht="75" x14ac:dyDescent="0.25">
      <c r="A499" s="2">
        <v>496</v>
      </c>
      <c r="B499" s="3" t="s">
        <v>1598</v>
      </c>
      <c r="C499" s="3" t="s">
        <v>25</v>
      </c>
      <c r="D499" s="3" t="s">
        <v>1599</v>
      </c>
      <c r="E499" s="2">
        <v>2018</v>
      </c>
      <c r="F499" s="3" t="s">
        <v>605</v>
      </c>
      <c r="G499" s="2" t="s">
        <v>12</v>
      </c>
      <c r="H499" s="3" t="s">
        <v>525</v>
      </c>
      <c r="I499" s="10" t="str">
        <f>HYPERLINK("http://dx.doi.org/10.1063/1.5033006","http://dx.doi.org/10.1063/1.5033006")</f>
        <v>http://dx.doi.org/10.1063/1.5033006</v>
      </c>
    </row>
    <row r="500" spans="1:9" ht="75" x14ac:dyDescent="0.25">
      <c r="A500" s="2">
        <v>497</v>
      </c>
      <c r="B500" s="3" t="s">
        <v>1600</v>
      </c>
      <c r="C500" s="3" t="s">
        <v>1601</v>
      </c>
      <c r="D500" s="3" t="s">
        <v>1602</v>
      </c>
      <c r="E500" s="2">
        <v>2018</v>
      </c>
      <c r="F500" s="3" t="s">
        <v>791</v>
      </c>
      <c r="G500" s="2" t="s">
        <v>12</v>
      </c>
      <c r="H500" s="3" t="s">
        <v>525</v>
      </c>
      <c r="I500" s="10" t="str">
        <f>HYPERLINK("http://dx.doi.org/10.1063/1.5032530","http://dx.doi.org/10.1063/1.5032530")</f>
        <v>http://dx.doi.org/10.1063/1.5032530</v>
      </c>
    </row>
    <row r="501" spans="1:9" ht="90" x14ac:dyDescent="0.25">
      <c r="A501" s="2">
        <v>498</v>
      </c>
      <c r="B501" s="3" t="s">
        <v>1603</v>
      </c>
      <c r="C501" s="3" t="s">
        <v>1604</v>
      </c>
      <c r="D501" s="3" t="s">
        <v>1605</v>
      </c>
      <c r="E501" s="2">
        <v>2023</v>
      </c>
      <c r="F501" s="3" t="s">
        <v>1606</v>
      </c>
      <c r="G501" s="2" t="s">
        <v>12</v>
      </c>
      <c r="H501" s="3" t="s">
        <v>58</v>
      </c>
      <c r="I501" s="10" t="str">
        <f>HYPERLINK("http://dx.doi.org/10.1039/d3ra06271f","http://dx.doi.org/10.1039/d3ra06271f")</f>
        <v>http://dx.doi.org/10.1039/d3ra06271f</v>
      </c>
    </row>
    <row r="502" spans="1:9" ht="90" x14ac:dyDescent="0.25">
      <c r="A502" s="2">
        <v>499</v>
      </c>
      <c r="B502" s="3" t="s">
        <v>1607</v>
      </c>
      <c r="C502" s="3" t="s">
        <v>1608</v>
      </c>
      <c r="D502" s="3" t="s">
        <v>1609</v>
      </c>
      <c r="E502" s="2">
        <v>2022</v>
      </c>
      <c r="F502" s="3" t="s">
        <v>463</v>
      </c>
      <c r="G502" s="2" t="s">
        <v>12</v>
      </c>
      <c r="H502" s="3" t="s">
        <v>38</v>
      </c>
      <c r="I502" s="10" t="str">
        <f>HYPERLINK("http://dx.doi.org/10.2174/1386207323666201229150734","http://dx.doi.org/10.2174/1386207323666201229150734")</f>
        <v>http://dx.doi.org/10.2174/1386207323666201229150734</v>
      </c>
    </row>
    <row r="503" spans="1:9" ht="150" x14ac:dyDescent="0.25">
      <c r="A503" s="2">
        <v>500</v>
      </c>
      <c r="B503" s="3" t="s">
        <v>1610</v>
      </c>
      <c r="C503" s="3" t="s">
        <v>805</v>
      </c>
      <c r="D503" s="3" t="s">
        <v>1611</v>
      </c>
      <c r="E503" s="2">
        <v>2021</v>
      </c>
      <c r="F503" s="3" t="s">
        <v>1612</v>
      </c>
      <c r="G503" s="2" t="s">
        <v>12</v>
      </c>
      <c r="H503" s="3" t="s">
        <v>1613</v>
      </c>
      <c r="I503" s="10" t="str">
        <f>HYPERLINK("http://dx.doi.org/10.1016/j.bioorg.2021.105226","http://dx.doi.org/10.1016/j.bioorg.2021.105226")</f>
        <v>http://dx.doi.org/10.1016/j.bioorg.2021.105226</v>
      </c>
    </row>
    <row r="504" spans="1:9" ht="105" x14ac:dyDescent="0.25">
      <c r="A504" s="2">
        <v>501</v>
      </c>
      <c r="B504" s="3" t="s">
        <v>1614</v>
      </c>
      <c r="C504" s="3" t="s">
        <v>81</v>
      </c>
      <c r="D504" s="3" t="s">
        <v>1615</v>
      </c>
      <c r="E504" s="2">
        <v>2020</v>
      </c>
      <c r="F504" s="3" t="s">
        <v>1616</v>
      </c>
      <c r="G504" s="2" t="s">
        <v>12</v>
      </c>
      <c r="H504" s="3" t="s">
        <v>453</v>
      </c>
      <c r="I504" s="10" t="str">
        <f>HYPERLINK("http://dx.doi.org/10.3389/fmats.2020.00093","http://dx.doi.org/10.3389/fmats.2020.00093")</f>
        <v>http://dx.doi.org/10.3389/fmats.2020.00093</v>
      </c>
    </row>
    <row r="505" spans="1:9" ht="75" x14ac:dyDescent="0.25">
      <c r="A505" s="2">
        <v>502</v>
      </c>
      <c r="B505" s="3" t="s">
        <v>1617</v>
      </c>
      <c r="C505" s="3" t="s">
        <v>1618</v>
      </c>
      <c r="D505" s="3" t="s">
        <v>1619</v>
      </c>
      <c r="E505" s="2">
        <v>2020</v>
      </c>
      <c r="F505" s="3" t="s">
        <v>1154</v>
      </c>
      <c r="G505" s="2" t="s">
        <v>12</v>
      </c>
      <c r="H505" s="3" t="s">
        <v>525</v>
      </c>
      <c r="I505" s="10" t="str">
        <f>HYPERLINK("http://dx.doi.org/10.1063/5.0017310","http://dx.doi.org/10.1063/5.0017310")</f>
        <v>http://dx.doi.org/10.1063/5.0017310</v>
      </c>
    </row>
    <row r="506" spans="1:9" ht="90" x14ac:dyDescent="0.25">
      <c r="A506" s="2">
        <v>503</v>
      </c>
      <c r="B506" s="3" t="s">
        <v>1620</v>
      </c>
      <c r="C506" s="3" t="s">
        <v>1621</v>
      </c>
      <c r="D506" s="3" t="s">
        <v>1622</v>
      </c>
      <c r="E506" s="2">
        <v>2019</v>
      </c>
      <c r="F506" s="3" t="s">
        <v>261</v>
      </c>
      <c r="G506" s="2" t="s">
        <v>12</v>
      </c>
      <c r="H506" s="3" t="s">
        <v>67</v>
      </c>
      <c r="I506" s="10" t="str">
        <f>HYPERLINK("http://dx.doi.org/10.1111/wre.12337","http://dx.doi.org/10.1111/wre.12337")</f>
        <v>http://dx.doi.org/10.1111/wre.12337</v>
      </c>
    </row>
    <row r="507" spans="1:9" ht="75" x14ac:dyDescent="0.25">
      <c r="A507" s="2">
        <v>504</v>
      </c>
      <c r="B507" s="3" t="s">
        <v>1623</v>
      </c>
      <c r="C507" s="3" t="s">
        <v>1624</v>
      </c>
      <c r="D507" s="3" t="s">
        <v>1625</v>
      </c>
      <c r="E507" s="2">
        <v>2019</v>
      </c>
      <c r="F507" s="3" t="s">
        <v>955</v>
      </c>
      <c r="G507" s="2" t="s">
        <v>12</v>
      </c>
      <c r="H507" s="3" t="s">
        <v>1626</v>
      </c>
      <c r="I507" s="10" t="str">
        <f>HYPERLINK("http://dx.doi.org/10.17576/3L-2019-2504-14","http://dx.doi.org/10.17576/3L-2019-2504-14")</f>
        <v>http://dx.doi.org/10.17576/3L-2019-2504-14</v>
      </c>
    </row>
    <row r="508" spans="1:9" ht="75" x14ac:dyDescent="0.25">
      <c r="A508" s="2">
        <v>505</v>
      </c>
      <c r="B508" s="3" t="s">
        <v>1627</v>
      </c>
      <c r="C508" s="3" t="s">
        <v>969</v>
      </c>
      <c r="D508" s="3" t="s">
        <v>1628</v>
      </c>
      <c r="E508" s="2">
        <v>2018</v>
      </c>
      <c r="F508" s="3" t="s">
        <v>1349</v>
      </c>
      <c r="G508" s="2" t="s">
        <v>12</v>
      </c>
      <c r="H508" s="3" t="s">
        <v>181</v>
      </c>
      <c r="I508" s="10" t="str">
        <f>HYPERLINK("http://dx.doi.org/10.1016/j.radphyschem.2018.02.026","http://dx.doi.org/10.1016/j.radphyschem.2018.02.026")</f>
        <v>http://dx.doi.org/10.1016/j.radphyschem.2018.02.026</v>
      </c>
    </row>
    <row r="509" spans="1:9" ht="60" x14ac:dyDescent="0.25">
      <c r="A509" s="2">
        <v>506</v>
      </c>
      <c r="B509" s="3" t="s">
        <v>1629</v>
      </c>
      <c r="C509" s="3" t="s">
        <v>1630</v>
      </c>
      <c r="D509" s="3" t="s">
        <v>1631</v>
      </c>
      <c r="E509" s="2">
        <v>2023</v>
      </c>
      <c r="F509" s="3" t="s">
        <v>261</v>
      </c>
      <c r="G509" s="2" t="s">
        <v>12</v>
      </c>
      <c r="H509" s="3" t="s">
        <v>91</v>
      </c>
      <c r="I509" s="10" t="str">
        <f>HYPERLINK("http://dx.doi.org/10.1080/01411594.2023.2179921","http://dx.doi.org/10.1080/01411594.2023.2179921")</f>
        <v>http://dx.doi.org/10.1080/01411594.2023.2179921</v>
      </c>
    </row>
    <row r="510" spans="1:9" ht="90" x14ac:dyDescent="0.25">
      <c r="A510" s="2">
        <v>507</v>
      </c>
      <c r="B510" s="3" t="s">
        <v>1632</v>
      </c>
      <c r="C510" s="3" t="s">
        <v>1196</v>
      </c>
      <c r="D510" s="3" t="s">
        <v>1633</v>
      </c>
      <c r="E510" s="2">
        <v>2021</v>
      </c>
      <c r="F510" s="3" t="s">
        <v>1634</v>
      </c>
      <c r="G510" s="2" t="s">
        <v>12</v>
      </c>
      <c r="H510" s="3" t="s">
        <v>277</v>
      </c>
      <c r="I510" s="10" t="str">
        <f>HYPERLINK("http://dx.doi.org/10.1016/j.cplett.2021.138690","http://dx.doi.org/10.1016/j.cplett.2021.138690")</f>
        <v>http://dx.doi.org/10.1016/j.cplett.2021.138690</v>
      </c>
    </row>
    <row r="511" spans="1:9" ht="60" x14ac:dyDescent="0.25">
      <c r="A511" s="2">
        <v>508</v>
      </c>
      <c r="B511" s="3" t="s">
        <v>1635</v>
      </c>
      <c r="C511" s="3" t="s">
        <v>1113</v>
      </c>
      <c r="D511" s="3" t="s">
        <v>1636</v>
      </c>
      <c r="E511" s="2">
        <v>2019</v>
      </c>
      <c r="F511" s="3" t="s">
        <v>22</v>
      </c>
      <c r="G511" s="2" t="s">
        <v>12</v>
      </c>
      <c r="H511" s="3" t="s">
        <v>1637</v>
      </c>
      <c r="I511" s="10" t="str">
        <f>HYPERLINK("http://dx.doi.org/10.1088/2053-1591/aafe32","http://dx.doi.org/10.1088/2053-1591/aafe32")</f>
        <v>http://dx.doi.org/10.1088/2053-1591/aafe32</v>
      </c>
    </row>
    <row r="512" spans="1:9" ht="75" x14ac:dyDescent="0.25">
      <c r="A512" s="2">
        <v>509</v>
      </c>
      <c r="B512" s="3" t="s">
        <v>1638</v>
      </c>
      <c r="C512" s="3" t="s">
        <v>820</v>
      </c>
      <c r="D512" s="3" t="s">
        <v>1639</v>
      </c>
      <c r="E512" s="2">
        <v>2018</v>
      </c>
      <c r="F512" s="3" t="s">
        <v>1097</v>
      </c>
      <c r="G512" s="2" t="s">
        <v>12</v>
      </c>
      <c r="H512" s="3" t="s">
        <v>1399</v>
      </c>
      <c r="I512" s="10" t="str">
        <f>HYPERLINK("http://dx.doi.org/10.1556/1006.2018.31.5.9","http://dx.doi.org/10.1556/1006.2018.31.5.9")</f>
        <v>http://dx.doi.org/10.1556/1006.2018.31.5.9</v>
      </c>
    </row>
    <row r="513" spans="1:9" ht="60" x14ac:dyDescent="0.25">
      <c r="A513" s="2">
        <v>510</v>
      </c>
      <c r="B513" s="3" t="s">
        <v>1640</v>
      </c>
      <c r="C513" s="3" t="s">
        <v>1641</v>
      </c>
      <c r="D513" s="3" t="s">
        <v>1642</v>
      </c>
      <c r="E513" s="2">
        <v>2018</v>
      </c>
      <c r="F513" s="3" t="s">
        <v>1097</v>
      </c>
      <c r="G513" s="2" t="s">
        <v>12</v>
      </c>
      <c r="H513" s="3" t="s">
        <v>686</v>
      </c>
      <c r="I513" s="10" t="str">
        <f>HYPERLINK("http://dx.doi.org/10.1016/j.jnoncrysol.2018.03.051","http://dx.doi.org/10.1016/j.jnoncrysol.2018.03.051")</f>
        <v>http://dx.doi.org/10.1016/j.jnoncrysol.2018.03.051</v>
      </c>
    </row>
    <row r="514" spans="1:9" ht="45" x14ac:dyDescent="0.25">
      <c r="A514" s="2">
        <v>511</v>
      </c>
      <c r="B514" s="3" t="s">
        <v>1643</v>
      </c>
      <c r="C514" s="3" t="s">
        <v>817</v>
      </c>
      <c r="D514" s="3" t="s">
        <v>1644</v>
      </c>
      <c r="E514" s="2">
        <v>2022</v>
      </c>
      <c r="F514" s="3" t="s">
        <v>1109</v>
      </c>
      <c r="G514" s="2" t="s">
        <v>12</v>
      </c>
      <c r="H514" s="3" t="s">
        <v>799</v>
      </c>
      <c r="I514" s="10" t="str">
        <f>HYPERLINK("http://dx.doi.org/10.3390/axioms11020079","http://dx.doi.org/10.3390/axioms11020079")</f>
        <v>http://dx.doi.org/10.3390/axioms11020079</v>
      </c>
    </row>
    <row r="515" spans="1:9" ht="135" x14ac:dyDescent="0.25">
      <c r="A515" s="2">
        <v>512</v>
      </c>
      <c r="B515" s="3" t="s">
        <v>1645</v>
      </c>
      <c r="C515" s="3" t="s">
        <v>964</v>
      </c>
      <c r="D515" s="3" t="s">
        <v>1646</v>
      </c>
      <c r="E515" s="2">
        <v>2018</v>
      </c>
      <c r="F515" s="3" t="s">
        <v>1647</v>
      </c>
      <c r="G515" s="2" t="s">
        <v>12</v>
      </c>
      <c r="H515" s="3" t="s">
        <v>966</v>
      </c>
      <c r="I515" s="11" t="s">
        <v>1648</v>
      </c>
    </row>
    <row r="516" spans="1:9" ht="90" x14ac:dyDescent="0.25">
      <c r="A516" s="2">
        <v>513</v>
      </c>
      <c r="B516" s="3" t="s">
        <v>1541</v>
      </c>
      <c r="C516" s="3" t="s">
        <v>1649</v>
      </c>
      <c r="D516" s="3" t="s">
        <v>1650</v>
      </c>
      <c r="E516" s="2">
        <v>2018</v>
      </c>
      <c r="F516" s="3" t="s">
        <v>313</v>
      </c>
      <c r="G516" s="2" t="s">
        <v>12</v>
      </c>
      <c r="H516" s="3" t="s">
        <v>48</v>
      </c>
      <c r="I516" s="10" t="str">
        <f>HYPERLINK("http://dx.doi.org/10.1007/s10854-018-8534-1","http://dx.doi.org/10.1007/s10854-018-8534-1")</f>
        <v>http://dx.doi.org/10.1007/s10854-018-8534-1</v>
      </c>
    </row>
    <row r="517" spans="1:9" ht="90" x14ac:dyDescent="0.25">
      <c r="A517" s="2">
        <v>514</v>
      </c>
      <c r="B517" s="3" t="s">
        <v>186</v>
      </c>
      <c r="C517" s="3" t="s">
        <v>1651</v>
      </c>
      <c r="D517" s="3" t="s">
        <v>1652</v>
      </c>
      <c r="E517" s="2">
        <v>2022</v>
      </c>
      <c r="F517" s="3" t="s">
        <v>1653</v>
      </c>
      <c r="G517" s="2" t="s">
        <v>12</v>
      </c>
      <c r="H517" s="3" t="s">
        <v>356</v>
      </c>
      <c r="I517" s="10" t="str">
        <f>HYPERLINK("http://dx.doi.org/10.1007/s13197-021-05257-4","http://dx.doi.org/10.1007/s13197-021-05257-4")</f>
        <v>http://dx.doi.org/10.1007/s13197-021-05257-4</v>
      </c>
    </row>
    <row r="518" spans="1:9" ht="90" x14ac:dyDescent="0.25">
      <c r="A518" s="2">
        <v>515</v>
      </c>
      <c r="B518" s="3" t="s">
        <v>1654</v>
      </c>
      <c r="C518" s="3" t="s">
        <v>397</v>
      </c>
      <c r="D518" s="3" t="s">
        <v>1655</v>
      </c>
      <c r="E518" s="2">
        <v>2021</v>
      </c>
      <c r="F518" s="3" t="s">
        <v>941</v>
      </c>
      <c r="G518" s="2" t="s">
        <v>12</v>
      </c>
      <c r="H518" s="3" t="s">
        <v>277</v>
      </c>
      <c r="I518" s="10" t="str">
        <f>HYPERLINK("http://dx.doi.org/10.1016/j.matpr.2021.04.027","http://dx.doi.org/10.1016/j.matpr.2021.04.027")</f>
        <v>http://dx.doi.org/10.1016/j.matpr.2021.04.027</v>
      </c>
    </row>
    <row r="519" spans="1:9" ht="120" x14ac:dyDescent="0.25">
      <c r="A519" s="2">
        <v>516</v>
      </c>
      <c r="B519" s="3" t="s">
        <v>1656</v>
      </c>
      <c r="C519" s="3" t="s">
        <v>45</v>
      </c>
      <c r="D519" s="3" t="s">
        <v>1657</v>
      </c>
      <c r="E519" s="2">
        <v>2020</v>
      </c>
      <c r="F519" s="3" t="s">
        <v>1658</v>
      </c>
      <c r="G519" s="2" t="s">
        <v>12</v>
      </c>
      <c r="H519" s="3" t="s">
        <v>91</v>
      </c>
      <c r="I519" s="10" t="str">
        <f>HYPERLINK("http://dx.doi.org/10.1080/10584587.2019.1675009","http://dx.doi.org/10.1080/10584587.2019.1675009")</f>
        <v>http://dx.doi.org/10.1080/10584587.2019.1675009</v>
      </c>
    </row>
    <row r="520" spans="1:9" ht="90" x14ac:dyDescent="0.25">
      <c r="A520" s="2">
        <v>517</v>
      </c>
      <c r="B520" s="3" t="s">
        <v>1659</v>
      </c>
      <c r="C520" s="3" t="s">
        <v>69</v>
      </c>
      <c r="D520" s="3" t="s">
        <v>1660</v>
      </c>
      <c r="E520" s="2">
        <v>2019</v>
      </c>
      <c r="F520" s="3" t="s">
        <v>313</v>
      </c>
      <c r="G520" s="2" t="s">
        <v>12</v>
      </c>
      <c r="H520" s="3" t="s">
        <v>1399</v>
      </c>
      <c r="I520" s="10" t="str">
        <f>HYPERLINK("http://dx.doi.org/10.1556/1006.2019.32.5.12","http://dx.doi.org/10.1556/1006.2019.32.5.12")</f>
        <v>http://dx.doi.org/10.1556/1006.2019.32.5.12</v>
      </c>
    </row>
    <row r="521" spans="1:9" ht="60" x14ac:dyDescent="0.25">
      <c r="A521" s="2">
        <v>518</v>
      </c>
      <c r="B521" s="3" t="s">
        <v>1661</v>
      </c>
      <c r="C521" s="3" t="s">
        <v>1254</v>
      </c>
      <c r="D521" s="3" t="s">
        <v>1662</v>
      </c>
      <c r="E521" s="2">
        <v>2019</v>
      </c>
      <c r="F521" s="3" t="s">
        <v>504</v>
      </c>
      <c r="G521" s="2" t="s">
        <v>12</v>
      </c>
      <c r="H521" s="3" t="s">
        <v>1125</v>
      </c>
      <c r="I521" s="10" t="str">
        <f>HYPERLINK("http://dx.doi.org/10.11646/phytotaxa.413.3.6","http://dx.doi.org/10.11646/phytotaxa.413.3.6")</f>
        <v>http://dx.doi.org/10.11646/phytotaxa.413.3.6</v>
      </c>
    </row>
    <row r="522" spans="1:9" ht="60" x14ac:dyDescent="0.25">
      <c r="A522" s="2">
        <v>519</v>
      </c>
      <c r="B522" s="3" t="s">
        <v>1663</v>
      </c>
      <c r="C522" s="3" t="s">
        <v>1664</v>
      </c>
      <c r="D522" s="3" t="s">
        <v>1665</v>
      </c>
      <c r="E522" s="2">
        <v>2018</v>
      </c>
      <c r="F522" s="3" t="s">
        <v>941</v>
      </c>
      <c r="G522" s="2" t="s">
        <v>12</v>
      </c>
      <c r="H522" s="3" t="s">
        <v>525</v>
      </c>
      <c r="I522" s="10" t="str">
        <f>HYPERLINK("http://dx.doi.org/10.1063/1.5028675","http://dx.doi.org/10.1063/1.5028675")</f>
        <v>http://dx.doi.org/10.1063/1.5028675</v>
      </c>
    </row>
    <row r="523" spans="1:9" ht="60" x14ac:dyDescent="0.25">
      <c r="A523" s="2">
        <v>520</v>
      </c>
      <c r="B523" s="3" t="s">
        <v>1666</v>
      </c>
      <c r="C523" s="3" t="s">
        <v>1342</v>
      </c>
      <c r="D523" s="3" t="s">
        <v>1667</v>
      </c>
      <c r="E523" s="2">
        <v>2018</v>
      </c>
      <c r="F523" s="3" t="s">
        <v>559</v>
      </c>
      <c r="G523" s="2" t="s">
        <v>12</v>
      </c>
      <c r="H523" s="3" t="s">
        <v>525</v>
      </c>
      <c r="I523" s="10" t="str">
        <f>HYPERLINK("http://dx.doi.org/10.1063/1.5032518","http://dx.doi.org/10.1063/1.5032518")</f>
        <v>http://dx.doi.org/10.1063/1.5032518</v>
      </c>
    </row>
    <row r="524" spans="1:9" ht="60" x14ac:dyDescent="0.25">
      <c r="A524" s="2">
        <v>521</v>
      </c>
      <c r="B524" s="3" t="s">
        <v>1668</v>
      </c>
      <c r="C524" s="3" t="s">
        <v>655</v>
      </c>
      <c r="D524" s="3" t="s">
        <v>1669</v>
      </c>
      <c r="E524" s="2">
        <v>2022</v>
      </c>
      <c r="F524" s="3" t="s">
        <v>261</v>
      </c>
      <c r="G524" s="2" t="s">
        <v>12</v>
      </c>
      <c r="H524" s="3" t="s">
        <v>799</v>
      </c>
      <c r="I524" s="10" t="str">
        <f>HYPERLINK("http://dx.doi.org/10.3390/axioms11060266","http://dx.doi.org/10.3390/axioms11060266")</f>
        <v>http://dx.doi.org/10.3390/axioms11060266</v>
      </c>
    </row>
    <row r="525" spans="1:9" ht="105" x14ac:dyDescent="0.25">
      <c r="A525" s="2">
        <v>522</v>
      </c>
      <c r="B525" s="3" t="s">
        <v>1670</v>
      </c>
      <c r="C525" s="3" t="s">
        <v>855</v>
      </c>
      <c r="D525" s="3" t="s">
        <v>1671</v>
      </c>
      <c r="E525" s="2">
        <v>2021</v>
      </c>
      <c r="F525" s="3" t="s">
        <v>1672</v>
      </c>
      <c r="G525" s="2" t="s">
        <v>12</v>
      </c>
      <c r="H525" s="3" t="s">
        <v>23</v>
      </c>
      <c r="I525" s="10" t="str">
        <f>HYPERLINK("http://dx.doi.org/10.1002/masy.202100124","http://dx.doi.org/10.1002/masy.202100124")</f>
        <v>http://dx.doi.org/10.1002/masy.202100124</v>
      </c>
    </row>
    <row r="526" spans="1:9" ht="60" x14ac:dyDescent="0.25">
      <c r="A526" s="2">
        <v>523</v>
      </c>
      <c r="B526" s="3" t="s">
        <v>1673</v>
      </c>
      <c r="C526" s="3" t="s">
        <v>1674</v>
      </c>
      <c r="D526" s="3" t="s">
        <v>1675</v>
      </c>
      <c r="E526" s="2">
        <v>2018</v>
      </c>
      <c r="F526" s="3" t="s">
        <v>1676</v>
      </c>
      <c r="G526" s="2" t="s">
        <v>12</v>
      </c>
      <c r="H526" s="3" t="s">
        <v>525</v>
      </c>
      <c r="I526" s="10" t="str">
        <f>HYPERLINK("http://dx.doi.org/10.1063/1.5033009","http://dx.doi.org/10.1063/1.5033009")</f>
        <v>http://dx.doi.org/10.1063/1.5033009</v>
      </c>
    </row>
    <row r="527" spans="1:9" ht="60" x14ac:dyDescent="0.25">
      <c r="A527" s="2">
        <v>524</v>
      </c>
      <c r="B527" s="3" t="s">
        <v>1677</v>
      </c>
      <c r="C527" s="3" t="s">
        <v>510</v>
      </c>
      <c r="D527" s="3" t="s">
        <v>1678</v>
      </c>
      <c r="E527" s="2">
        <v>2022</v>
      </c>
      <c r="F527" s="3" t="s">
        <v>1330</v>
      </c>
      <c r="G527" s="2" t="s">
        <v>12</v>
      </c>
      <c r="H527" s="3" t="s">
        <v>1679</v>
      </c>
      <c r="I527" s="10" t="str">
        <f>HYPERLINK("http://dx.doi.org/10.13106/jafeb.2022.vol9.no4.0299","http://dx.doi.org/10.13106/jafeb.2022.vol9.no4.0299")</f>
        <v>http://dx.doi.org/10.13106/jafeb.2022.vol9.no4.0299</v>
      </c>
    </row>
    <row r="528" spans="1:9" ht="60" x14ac:dyDescent="0.25">
      <c r="A528" s="2">
        <v>525</v>
      </c>
      <c r="B528" s="3" t="s">
        <v>1680</v>
      </c>
      <c r="C528" s="3" t="s">
        <v>1681</v>
      </c>
      <c r="D528" s="3" t="s">
        <v>1682</v>
      </c>
      <c r="E528" s="2">
        <v>2021</v>
      </c>
      <c r="F528" s="3" t="s">
        <v>394</v>
      </c>
      <c r="G528" s="2" t="s">
        <v>12</v>
      </c>
      <c r="H528" s="3" t="s">
        <v>48</v>
      </c>
      <c r="I528" s="10" t="str">
        <f>HYPERLINK("http://dx.doi.org/10.1007/s10854-021-05306-w","http://dx.doi.org/10.1007/s10854-021-05306-w")</f>
        <v>http://dx.doi.org/10.1007/s10854-021-05306-w</v>
      </c>
    </row>
    <row r="529" spans="1:9" ht="60" x14ac:dyDescent="0.25">
      <c r="A529" s="2">
        <v>526</v>
      </c>
      <c r="B529" s="3" t="s">
        <v>1683</v>
      </c>
      <c r="C529" s="3" t="s">
        <v>1684</v>
      </c>
      <c r="D529" s="3" t="s">
        <v>1685</v>
      </c>
      <c r="E529" s="2">
        <v>2020</v>
      </c>
      <c r="F529" s="3" t="s">
        <v>941</v>
      </c>
      <c r="G529" s="2" t="s">
        <v>12</v>
      </c>
      <c r="H529" s="3" t="s">
        <v>181</v>
      </c>
      <c r="I529" s="10" t="str">
        <f>HYPERLINK("http://dx.doi.org/10.1016/j.chaos.2020.109867","http://dx.doi.org/10.1016/j.chaos.2020.109867")</f>
        <v>http://dx.doi.org/10.1016/j.chaos.2020.109867</v>
      </c>
    </row>
    <row r="530" spans="1:9" ht="45" x14ac:dyDescent="0.25">
      <c r="A530" s="2">
        <v>527</v>
      </c>
      <c r="B530" s="3" t="s">
        <v>1686</v>
      </c>
      <c r="C530" s="3" t="s">
        <v>1212</v>
      </c>
      <c r="D530" s="3" t="s">
        <v>1687</v>
      </c>
      <c r="E530" s="2">
        <v>2020</v>
      </c>
      <c r="F530" s="3" t="s">
        <v>559</v>
      </c>
      <c r="G530" s="2" t="s">
        <v>12</v>
      </c>
      <c r="H530" s="3" t="s">
        <v>288</v>
      </c>
      <c r="I530" s="10" t="str">
        <f>HYPERLINK("http://dx.doi.org/10.1080/23311975.2020.1797261","http://dx.doi.org/10.1080/23311975.2020.1797261")</f>
        <v>http://dx.doi.org/10.1080/23311975.2020.1797261</v>
      </c>
    </row>
    <row r="531" spans="1:9" ht="75" x14ac:dyDescent="0.25">
      <c r="A531" s="2">
        <v>528</v>
      </c>
      <c r="B531" s="3" t="s">
        <v>1688</v>
      </c>
      <c r="C531" s="3" t="s">
        <v>1689</v>
      </c>
      <c r="D531" s="3" t="s">
        <v>1690</v>
      </c>
      <c r="E531" s="2">
        <v>2018</v>
      </c>
      <c r="F531" s="3" t="s">
        <v>1691</v>
      </c>
      <c r="G531" s="2" t="s">
        <v>12</v>
      </c>
      <c r="H531" s="3" t="s">
        <v>525</v>
      </c>
      <c r="I531" s="10" t="str">
        <f>HYPERLINK("http://dx.doi.org/10.1063/1.5033122","http://dx.doi.org/10.1063/1.5033122")</f>
        <v>http://dx.doi.org/10.1063/1.5033122</v>
      </c>
    </row>
    <row r="532" spans="1:9" ht="90" x14ac:dyDescent="0.25">
      <c r="A532" s="2">
        <v>529</v>
      </c>
      <c r="B532" s="3" t="s">
        <v>1692</v>
      </c>
      <c r="C532" s="3" t="s">
        <v>225</v>
      </c>
      <c r="D532" s="3" t="s">
        <v>1693</v>
      </c>
      <c r="E532" s="2">
        <v>2024</v>
      </c>
      <c r="F532" s="3" t="s">
        <v>1694</v>
      </c>
      <c r="G532" s="2" t="s">
        <v>12</v>
      </c>
      <c r="H532" s="3" t="s">
        <v>91</v>
      </c>
      <c r="I532" s="10" t="str">
        <f>HYPERLINK("http://dx.doi.org/10.1080/10406638.2023.2194653","http://dx.doi.org/10.1080/10406638.2023.2194653")</f>
        <v>http://dx.doi.org/10.1080/10406638.2023.2194653</v>
      </c>
    </row>
    <row r="533" spans="1:9" ht="60" x14ac:dyDescent="0.25">
      <c r="A533" s="2">
        <v>530</v>
      </c>
      <c r="B533" s="3" t="s">
        <v>1496</v>
      </c>
      <c r="C533" s="3" t="s">
        <v>1695</v>
      </c>
      <c r="D533" s="3" t="s">
        <v>1696</v>
      </c>
      <c r="E533" s="2">
        <v>2022</v>
      </c>
      <c r="F533" s="3" t="s">
        <v>941</v>
      </c>
      <c r="G533" s="2" t="s">
        <v>12</v>
      </c>
      <c r="H533" s="3" t="s">
        <v>1027</v>
      </c>
      <c r="I533" s="10" t="str">
        <f>HYPERLINK("http://dx.doi.org/10.1007/s12039-022-02116-3","http://dx.doi.org/10.1007/s12039-022-02116-3")</f>
        <v>http://dx.doi.org/10.1007/s12039-022-02116-3</v>
      </c>
    </row>
    <row r="534" spans="1:9" ht="60" x14ac:dyDescent="0.25">
      <c r="A534" s="2">
        <v>531</v>
      </c>
      <c r="B534" s="3" t="s">
        <v>1697</v>
      </c>
      <c r="C534" s="3" t="s">
        <v>1698</v>
      </c>
      <c r="D534" s="3" t="s">
        <v>1699</v>
      </c>
      <c r="E534" s="2">
        <v>2019</v>
      </c>
      <c r="F534" s="3" t="s">
        <v>1700</v>
      </c>
      <c r="G534" s="2" t="s">
        <v>12</v>
      </c>
      <c r="H534" s="3" t="s">
        <v>91</v>
      </c>
      <c r="I534" s="10" t="str">
        <f>HYPERLINK("http://dx.doi.org/10.1080/10584587.2019.1674826","http://dx.doi.org/10.1080/10584587.2019.1674826")</f>
        <v>http://dx.doi.org/10.1080/10584587.2019.1674826</v>
      </c>
    </row>
    <row r="535" spans="1:9" ht="195" x14ac:dyDescent="0.25">
      <c r="A535" s="2">
        <v>532</v>
      </c>
      <c r="B535" s="3" t="s">
        <v>1701</v>
      </c>
      <c r="C535" s="3" t="s">
        <v>1702</v>
      </c>
      <c r="D535" s="3" t="s">
        <v>1703</v>
      </c>
      <c r="E535" s="2">
        <v>2019</v>
      </c>
      <c r="F535" s="3" t="s">
        <v>1704</v>
      </c>
      <c r="G535" s="2" t="s">
        <v>12</v>
      </c>
      <c r="H535" s="3" t="s">
        <v>1133</v>
      </c>
      <c r="I535" s="10" t="s">
        <v>1705</v>
      </c>
    </row>
    <row r="536" spans="1:9" ht="75" x14ac:dyDescent="0.25">
      <c r="A536" s="2">
        <v>533</v>
      </c>
      <c r="B536" s="3" t="s">
        <v>1706</v>
      </c>
      <c r="C536" s="3" t="s">
        <v>20</v>
      </c>
      <c r="D536" s="3" t="s">
        <v>1707</v>
      </c>
      <c r="E536" s="2">
        <v>2019</v>
      </c>
      <c r="F536" s="3" t="s">
        <v>916</v>
      </c>
      <c r="G536" s="2" t="s">
        <v>12</v>
      </c>
      <c r="H536" s="3" t="s">
        <v>205</v>
      </c>
      <c r="I536" s="10" t="str">
        <f>HYPERLINK("http://dx.doi.org/10.1080/00397911.2019.1614630","http://dx.doi.org/10.1080/00397911.2019.1614630")</f>
        <v>http://dx.doi.org/10.1080/00397911.2019.1614630</v>
      </c>
    </row>
    <row r="537" spans="1:9" ht="90" x14ac:dyDescent="0.25">
      <c r="A537" s="2">
        <v>534</v>
      </c>
      <c r="B537" s="3" t="s">
        <v>1708</v>
      </c>
      <c r="C537" s="3" t="s">
        <v>1709</v>
      </c>
      <c r="D537" s="3" t="s">
        <v>1710</v>
      </c>
      <c r="E537" s="2">
        <v>2018</v>
      </c>
      <c r="F537" s="3" t="s">
        <v>1711</v>
      </c>
      <c r="G537" s="2" t="s">
        <v>12</v>
      </c>
      <c r="H537" s="3" t="s">
        <v>72</v>
      </c>
      <c r="I537" s="10" t="s">
        <v>1712</v>
      </c>
    </row>
    <row r="538" spans="1:9" ht="105" x14ac:dyDescent="0.25">
      <c r="A538" s="2">
        <v>535</v>
      </c>
      <c r="B538" s="3" t="s">
        <v>1496</v>
      </c>
      <c r="C538" s="3" t="s">
        <v>1152</v>
      </c>
      <c r="D538" s="3" t="s">
        <v>1713</v>
      </c>
      <c r="E538" s="2">
        <v>2021</v>
      </c>
      <c r="F538" s="3" t="s">
        <v>1714</v>
      </c>
      <c r="G538" s="2" t="s">
        <v>12</v>
      </c>
      <c r="H538" s="3" t="s">
        <v>205</v>
      </c>
      <c r="I538" s="10" t="str">
        <f>HYPERLINK("http://dx.doi.org/10.1080/00397911.2021.1913606","http://dx.doi.org/10.1080/00397911.2021.1913606")</f>
        <v>http://dx.doi.org/10.1080/00397911.2021.1913606</v>
      </c>
    </row>
    <row r="539" spans="1:9" ht="120" x14ac:dyDescent="0.25">
      <c r="A539" s="2">
        <v>536</v>
      </c>
      <c r="B539" s="3" t="s">
        <v>1715</v>
      </c>
      <c r="C539" s="3" t="s">
        <v>1165</v>
      </c>
      <c r="D539" s="3" t="s">
        <v>1716</v>
      </c>
      <c r="E539" s="2">
        <v>2019</v>
      </c>
      <c r="F539" s="3" t="s">
        <v>1717</v>
      </c>
      <c r="G539" s="2" t="s">
        <v>12</v>
      </c>
      <c r="H539" s="3" t="s">
        <v>28</v>
      </c>
      <c r="I539" s="10" t="str">
        <f>HYPERLINK("http://dx.doi.org/10.1021/acsomega.9b02286","http://dx.doi.org/10.1021/acsomega.9b02286")</f>
        <v>http://dx.doi.org/10.1021/acsomega.9b02286</v>
      </c>
    </row>
    <row r="540" spans="1:9" ht="90" x14ac:dyDescent="0.25">
      <c r="A540" s="2">
        <v>537</v>
      </c>
      <c r="B540" s="3" t="s">
        <v>1718</v>
      </c>
      <c r="C540" s="3" t="s">
        <v>1719</v>
      </c>
      <c r="D540" s="3" t="s">
        <v>1720</v>
      </c>
      <c r="E540" s="2">
        <v>2018</v>
      </c>
      <c r="F540" s="3" t="s">
        <v>1534</v>
      </c>
      <c r="G540" s="2" t="s">
        <v>12</v>
      </c>
      <c r="H540" s="3" t="s">
        <v>1721</v>
      </c>
      <c r="I540" s="10" t="s">
        <v>1722</v>
      </c>
    </row>
    <row r="541" spans="1:9" ht="60" x14ac:dyDescent="0.25">
      <c r="A541" s="2">
        <v>538</v>
      </c>
      <c r="B541" s="3" t="s">
        <v>1723</v>
      </c>
      <c r="C541" s="3" t="s">
        <v>60</v>
      </c>
      <c r="D541" s="3" t="s">
        <v>1724</v>
      </c>
      <c r="E541" s="2">
        <v>2018</v>
      </c>
      <c r="F541" s="3" t="s">
        <v>1180</v>
      </c>
      <c r="G541" s="2" t="s">
        <v>12</v>
      </c>
      <c r="H541" s="3" t="s">
        <v>525</v>
      </c>
      <c r="I541" s="10" t="str">
        <f>HYPERLINK("http://dx.doi.org/10.1063/1.5032694","http://dx.doi.org/10.1063/1.5032694")</f>
        <v>http://dx.doi.org/10.1063/1.5032694</v>
      </c>
    </row>
    <row r="542" spans="1:9" ht="90" x14ac:dyDescent="0.25">
      <c r="A542" s="2">
        <v>539</v>
      </c>
      <c r="B542" s="3" t="s">
        <v>1725</v>
      </c>
      <c r="C542" s="3" t="s">
        <v>1726</v>
      </c>
      <c r="D542" s="3" t="s">
        <v>1727</v>
      </c>
      <c r="E542" s="2">
        <v>2024</v>
      </c>
      <c r="F542" s="3" t="s">
        <v>941</v>
      </c>
      <c r="G542" s="2" t="s">
        <v>12</v>
      </c>
      <c r="H542" s="3" t="s">
        <v>1728</v>
      </c>
      <c r="I542" s="10" t="str">
        <f>HYPERLINK("http://dx.doi.org/10.1177/02666669221087184","http://dx.doi.org/10.1177/02666669221087184")</f>
        <v>http://dx.doi.org/10.1177/02666669221087184</v>
      </c>
    </row>
    <row r="543" spans="1:9" ht="90" x14ac:dyDescent="0.25">
      <c r="A543" s="2">
        <v>540</v>
      </c>
      <c r="B543" s="3" t="s">
        <v>1729</v>
      </c>
      <c r="C543" s="3" t="s">
        <v>211</v>
      </c>
      <c r="D543" s="3" t="s">
        <v>1730</v>
      </c>
      <c r="E543" s="2">
        <v>2021</v>
      </c>
      <c r="F543" s="3" t="s">
        <v>1352</v>
      </c>
      <c r="G543" s="2" t="s">
        <v>12</v>
      </c>
      <c r="H543" s="3" t="s">
        <v>181</v>
      </c>
      <c r="I543" s="10" t="str">
        <f>HYPERLINK("http://dx.doi.org/10.1016/j.saa.2020.119010","http://dx.doi.org/10.1016/j.saa.2020.119010")</f>
        <v>http://dx.doi.org/10.1016/j.saa.2020.119010</v>
      </c>
    </row>
    <row r="544" spans="1:9" ht="75" x14ac:dyDescent="0.25">
      <c r="A544" s="2">
        <v>541</v>
      </c>
      <c r="B544" s="3" t="s">
        <v>1731</v>
      </c>
      <c r="C544" s="3" t="s">
        <v>1732</v>
      </c>
      <c r="D544" s="3" t="s">
        <v>1733</v>
      </c>
      <c r="E544" s="2">
        <v>2020</v>
      </c>
      <c r="F544" s="3" t="s">
        <v>261</v>
      </c>
      <c r="G544" s="2" t="s">
        <v>12</v>
      </c>
      <c r="H544" s="3" t="s">
        <v>48</v>
      </c>
      <c r="I544" s="10" t="str">
        <f>HYPERLINK("http://dx.doi.org/10.1007/s11042-020-08978-4","http://dx.doi.org/10.1007/s11042-020-08978-4")</f>
        <v>http://dx.doi.org/10.1007/s11042-020-08978-4</v>
      </c>
    </row>
    <row r="545" spans="1:9" ht="75" x14ac:dyDescent="0.25">
      <c r="A545" s="2">
        <v>542</v>
      </c>
      <c r="B545" s="3" t="s">
        <v>1734</v>
      </c>
      <c r="C545" s="3" t="s">
        <v>60</v>
      </c>
      <c r="D545" s="3" t="s">
        <v>1735</v>
      </c>
      <c r="E545" s="2">
        <v>2023</v>
      </c>
      <c r="F545" s="3" t="s">
        <v>313</v>
      </c>
      <c r="G545" s="2" t="s">
        <v>12</v>
      </c>
      <c r="H545" s="3" t="s">
        <v>91</v>
      </c>
      <c r="I545" s="10" t="str">
        <f>HYPERLINK("http://dx.doi.org/10.1080/10406638.2022.2069132","http://dx.doi.org/10.1080/10406638.2022.2069132")</f>
        <v>http://dx.doi.org/10.1080/10406638.2022.2069132</v>
      </c>
    </row>
    <row r="546" spans="1:9" ht="60" x14ac:dyDescent="0.25">
      <c r="A546" s="2">
        <v>543</v>
      </c>
      <c r="B546" s="3" t="s">
        <v>1736</v>
      </c>
      <c r="C546" s="3" t="s">
        <v>192</v>
      </c>
      <c r="D546" s="3" t="s">
        <v>1737</v>
      </c>
      <c r="E546" s="2">
        <v>2023</v>
      </c>
      <c r="F546" s="3" t="s">
        <v>27</v>
      </c>
      <c r="G546" s="2" t="s">
        <v>12</v>
      </c>
      <c r="H546" s="3" t="s">
        <v>453</v>
      </c>
      <c r="I546" s="10" t="str">
        <f>HYPERLINK("http://dx.doi.org/10.3389/frai.2022.964279","http://dx.doi.org/10.3389/frai.2022.964279")</f>
        <v>http://dx.doi.org/10.3389/frai.2022.964279</v>
      </c>
    </row>
    <row r="547" spans="1:9" ht="75" x14ac:dyDescent="0.25">
      <c r="A547" s="2">
        <v>544</v>
      </c>
      <c r="B547" s="3" t="s">
        <v>1738</v>
      </c>
      <c r="C547" s="3" t="s">
        <v>211</v>
      </c>
      <c r="D547" s="3" t="s">
        <v>1739</v>
      </c>
      <c r="E547" s="2">
        <v>2023</v>
      </c>
      <c r="F547" s="3" t="s">
        <v>1704</v>
      </c>
      <c r="G547" s="2" t="s">
        <v>12</v>
      </c>
      <c r="H547" s="3" t="s">
        <v>1740</v>
      </c>
      <c r="I547" s="10" t="str">
        <f>HYPERLINK("http://dx.doi.org/10.1380/ejssnt.2023-029","http://dx.doi.org/10.1380/ejssnt.2023-029")</f>
        <v>http://dx.doi.org/10.1380/ejssnt.2023-029</v>
      </c>
    </row>
    <row r="548" spans="1:9" ht="90" x14ac:dyDescent="0.25">
      <c r="A548" s="2">
        <v>545</v>
      </c>
      <c r="B548" s="3" t="s">
        <v>1741</v>
      </c>
      <c r="C548" s="3" t="s">
        <v>81</v>
      </c>
      <c r="D548" s="3" t="s">
        <v>1742</v>
      </c>
      <c r="E548" s="2">
        <v>2021</v>
      </c>
      <c r="F548" s="3" t="s">
        <v>1743</v>
      </c>
      <c r="G548" s="2" t="s">
        <v>12</v>
      </c>
      <c r="H548" s="3" t="s">
        <v>583</v>
      </c>
      <c r="I548" s="10" t="str">
        <f>HYPERLINK("http://dx.doi.org/10.1155/2021/8500314","http://dx.doi.org/10.1155/2021/8500314")</f>
        <v>http://dx.doi.org/10.1155/2021/8500314</v>
      </c>
    </row>
    <row r="549" spans="1:9" ht="75" x14ac:dyDescent="0.25">
      <c r="A549" s="2">
        <v>546</v>
      </c>
      <c r="B549" s="3" t="s">
        <v>251</v>
      </c>
      <c r="C549" s="3" t="s">
        <v>1744</v>
      </c>
      <c r="D549" s="3" t="s">
        <v>1745</v>
      </c>
      <c r="E549" s="2">
        <v>2021</v>
      </c>
      <c r="F549" s="3" t="s">
        <v>1097</v>
      </c>
      <c r="G549" s="2" t="s">
        <v>12</v>
      </c>
      <c r="H549" s="3" t="s">
        <v>277</v>
      </c>
      <c r="I549" s="10" t="str">
        <f>HYPERLINK("http://dx.doi.org/10.1016/j.rinam.2021.100142","http://dx.doi.org/10.1016/j.rinam.2021.100142")</f>
        <v>http://dx.doi.org/10.1016/j.rinam.2021.100142</v>
      </c>
    </row>
    <row r="550" spans="1:9" ht="90" x14ac:dyDescent="0.25">
      <c r="A550" s="2">
        <v>547</v>
      </c>
      <c r="B550" s="3" t="s">
        <v>1746</v>
      </c>
      <c r="C550" s="3" t="s">
        <v>1747</v>
      </c>
      <c r="D550" s="3" t="s">
        <v>1748</v>
      </c>
      <c r="E550" s="2">
        <v>2020</v>
      </c>
      <c r="F550" s="3" t="s">
        <v>1330</v>
      </c>
      <c r="G550" s="2" t="s">
        <v>12</v>
      </c>
      <c r="H550" s="3" t="s">
        <v>525</v>
      </c>
      <c r="I550" s="10" t="str">
        <f>HYPERLINK("http://dx.doi.org/10.1063/5.0017071","http://dx.doi.org/10.1063/5.0017071")</f>
        <v>http://dx.doi.org/10.1063/5.0017071</v>
      </c>
    </row>
    <row r="551" spans="1:9" ht="75" x14ac:dyDescent="0.25">
      <c r="A551" s="2">
        <v>548</v>
      </c>
      <c r="B551" s="3" t="s">
        <v>1749</v>
      </c>
      <c r="C551" s="3" t="s">
        <v>1750</v>
      </c>
      <c r="D551" s="3" t="s">
        <v>1751</v>
      </c>
      <c r="E551" s="2">
        <v>2018</v>
      </c>
      <c r="F551" s="3" t="s">
        <v>1752</v>
      </c>
      <c r="G551" s="2" t="s">
        <v>12</v>
      </c>
      <c r="H551" s="3" t="s">
        <v>525</v>
      </c>
      <c r="I551" s="10" t="str">
        <f>HYPERLINK("http://dx.doi.org/10.1063/1.5032693","http://dx.doi.org/10.1063/1.5032693")</f>
        <v>http://dx.doi.org/10.1063/1.5032693</v>
      </c>
    </row>
    <row r="552" spans="1:9" ht="75" x14ac:dyDescent="0.25">
      <c r="A552" s="2">
        <v>549</v>
      </c>
      <c r="B552" s="3" t="s">
        <v>1753</v>
      </c>
      <c r="C552" s="3" t="s">
        <v>1390</v>
      </c>
      <c r="D552" s="3" t="s">
        <v>1754</v>
      </c>
      <c r="E552" s="2">
        <v>2023</v>
      </c>
      <c r="F552" s="3" t="s">
        <v>1755</v>
      </c>
      <c r="G552" s="2" t="s">
        <v>12</v>
      </c>
      <c r="H552" s="3" t="s">
        <v>1756</v>
      </c>
      <c r="I552" s="10" t="str">
        <f>HYPERLINK("http://dx.doi.org/10.18280/ts.400325","http://dx.doi.org/10.18280/ts.400325")</f>
        <v>http://dx.doi.org/10.18280/ts.400325</v>
      </c>
    </row>
    <row r="553" spans="1:9" ht="75" x14ac:dyDescent="0.25">
      <c r="A553" s="2">
        <v>550</v>
      </c>
      <c r="B553" s="3" t="s">
        <v>1757</v>
      </c>
      <c r="C553" s="3" t="s">
        <v>45</v>
      </c>
      <c r="D553" s="3" t="s">
        <v>1758</v>
      </c>
      <c r="E553" s="2">
        <v>2022</v>
      </c>
      <c r="F553" s="3" t="s">
        <v>1759</v>
      </c>
      <c r="G553" s="2" t="s">
        <v>12</v>
      </c>
      <c r="H553" s="3" t="s">
        <v>799</v>
      </c>
      <c r="I553" s="10" t="str">
        <f>HYPERLINK("http://dx.doi.org/10.3390/app12147092","http://dx.doi.org/10.3390/app12147092")</f>
        <v>http://dx.doi.org/10.3390/app12147092</v>
      </c>
    </row>
    <row r="554" spans="1:9" ht="90" x14ac:dyDescent="0.25">
      <c r="A554" s="2">
        <v>551</v>
      </c>
      <c r="B554" s="3" t="s">
        <v>1760</v>
      </c>
      <c r="C554" s="3" t="s">
        <v>211</v>
      </c>
      <c r="D554" s="3" t="s">
        <v>1761</v>
      </c>
      <c r="E554" s="2">
        <v>2022</v>
      </c>
      <c r="F554" s="3" t="s">
        <v>261</v>
      </c>
      <c r="G554" s="2" t="s">
        <v>12</v>
      </c>
      <c r="H554" s="3" t="s">
        <v>698</v>
      </c>
      <c r="I554" s="10" t="str">
        <f>HYPERLINK("http://dx.doi.org/10.1134/S0036024422050235","http://dx.doi.org/10.1134/S0036024422050235")</f>
        <v>http://dx.doi.org/10.1134/S0036024422050235</v>
      </c>
    </row>
    <row r="555" spans="1:9" ht="60" x14ac:dyDescent="0.25">
      <c r="A555" s="2">
        <v>552</v>
      </c>
      <c r="B555" s="3" t="s">
        <v>1762</v>
      </c>
      <c r="C555" s="3" t="s">
        <v>81</v>
      </c>
      <c r="D555" s="3" t="s">
        <v>1763</v>
      </c>
      <c r="E555" s="2">
        <v>2021</v>
      </c>
      <c r="F555" s="3" t="s">
        <v>1054</v>
      </c>
      <c r="G555" s="2" t="s">
        <v>12</v>
      </c>
      <c r="H555" s="3" t="s">
        <v>91</v>
      </c>
      <c r="I555" s="10" t="str">
        <f>HYPERLINK("http://dx.doi.org/10.1080/00150193.2021.1984766","http://dx.doi.org/10.1080/00150193.2021.1984766")</f>
        <v>http://dx.doi.org/10.1080/00150193.2021.1984766</v>
      </c>
    </row>
    <row r="556" spans="1:9" ht="60" x14ac:dyDescent="0.25">
      <c r="A556" s="2">
        <v>553</v>
      </c>
      <c r="B556" s="3" t="s">
        <v>1764</v>
      </c>
      <c r="C556" s="3" t="s">
        <v>1765</v>
      </c>
      <c r="D556" s="3" t="s">
        <v>1766</v>
      </c>
      <c r="E556" s="2">
        <v>2021</v>
      </c>
      <c r="F556" s="3" t="s">
        <v>1109</v>
      </c>
      <c r="G556" s="2" t="s">
        <v>12</v>
      </c>
      <c r="H556" s="3" t="s">
        <v>48</v>
      </c>
      <c r="I556" s="10" t="str">
        <f>HYPERLINK("http://dx.doi.org/10.1007/s11051-021-05259-5","http://dx.doi.org/10.1007/s11051-021-05259-5")</f>
        <v>http://dx.doi.org/10.1007/s11051-021-05259-5</v>
      </c>
    </row>
    <row r="557" spans="1:9" ht="60" x14ac:dyDescent="0.25">
      <c r="A557" s="2">
        <v>554</v>
      </c>
      <c r="B557" s="3" t="s">
        <v>1767</v>
      </c>
      <c r="C557" s="3" t="s">
        <v>1768</v>
      </c>
      <c r="D557" s="3" t="s">
        <v>1769</v>
      </c>
      <c r="E557" s="2">
        <v>2018</v>
      </c>
      <c r="F557" s="3" t="s">
        <v>1770</v>
      </c>
      <c r="G557" s="2" t="s">
        <v>12</v>
      </c>
      <c r="H557" s="3" t="s">
        <v>525</v>
      </c>
      <c r="I557" s="10" t="str">
        <f>HYPERLINK("http://dx.doi.org/10.1063/1.5032724","http://dx.doi.org/10.1063/1.5032724")</f>
        <v>http://dx.doi.org/10.1063/1.5032724</v>
      </c>
    </row>
    <row r="558" spans="1:9" ht="75" x14ac:dyDescent="0.25">
      <c r="A558" s="2">
        <v>555</v>
      </c>
      <c r="B558" s="3" t="s">
        <v>1771</v>
      </c>
      <c r="C558" s="3" t="s">
        <v>211</v>
      </c>
      <c r="D558" s="3" t="s">
        <v>1772</v>
      </c>
      <c r="E558" s="2">
        <v>2023</v>
      </c>
      <c r="F558" s="3" t="s">
        <v>941</v>
      </c>
      <c r="G558" s="2" t="s">
        <v>12</v>
      </c>
      <c r="H558" s="3" t="s">
        <v>277</v>
      </c>
      <c r="I558" s="10" t="str">
        <f>HYPERLINK("http://dx.doi.org/10.1016/j.molstruc.2022.134747","http://dx.doi.org/10.1016/j.molstruc.2022.134747")</f>
        <v>http://dx.doi.org/10.1016/j.molstruc.2022.134747</v>
      </c>
    </row>
    <row r="559" spans="1:9" ht="75" x14ac:dyDescent="0.25">
      <c r="A559" s="2">
        <v>556</v>
      </c>
      <c r="B559" s="3" t="s">
        <v>1773</v>
      </c>
      <c r="C559" s="3" t="s">
        <v>1774</v>
      </c>
      <c r="D559" s="3" t="s">
        <v>1775</v>
      </c>
      <c r="E559" s="2">
        <v>2022</v>
      </c>
      <c r="F559" s="3" t="s">
        <v>1776</v>
      </c>
      <c r="G559" s="2" t="s">
        <v>12</v>
      </c>
      <c r="H559" s="3" t="s">
        <v>799</v>
      </c>
      <c r="I559" s="10" t="str">
        <f>HYPERLINK("http://dx.doi.org/10.3390/diagnostics12081899","http://dx.doi.org/10.3390/diagnostics12081899")</f>
        <v>http://dx.doi.org/10.3390/diagnostics12081899</v>
      </c>
    </row>
    <row r="560" spans="1:9" ht="105" x14ac:dyDescent="0.25">
      <c r="A560" s="2">
        <v>557</v>
      </c>
      <c r="B560" s="3" t="s">
        <v>1777</v>
      </c>
      <c r="C560" s="3" t="s">
        <v>1778</v>
      </c>
      <c r="D560" s="3" t="s">
        <v>1779</v>
      </c>
      <c r="E560" s="2">
        <v>2022</v>
      </c>
      <c r="F560" s="3" t="s">
        <v>898</v>
      </c>
      <c r="G560" s="2" t="s">
        <v>12</v>
      </c>
      <c r="H560" s="3" t="s">
        <v>1780</v>
      </c>
      <c r="I560" s="10" t="str">
        <f>HYPERLINK("http://dx.doi.org/10.5541/ijot.1017174","http://dx.doi.org/10.5541/ijot.1017174")</f>
        <v>http://dx.doi.org/10.5541/ijot.1017174</v>
      </c>
    </row>
    <row r="561" spans="1:9" ht="75" x14ac:dyDescent="0.25">
      <c r="A561" s="2">
        <v>558</v>
      </c>
      <c r="B561" s="3" t="s">
        <v>1781</v>
      </c>
      <c r="C561" s="3" t="s">
        <v>1782</v>
      </c>
      <c r="D561" s="3" t="s">
        <v>1783</v>
      </c>
      <c r="E561" s="2">
        <v>2020</v>
      </c>
      <c r="F561" s="3" t="s">
        <v>1784</v>
      </c>
      <c r="G561" s="2" t="s">
        <v>12</v>
      </c>
      <c r="H561" s="3" t="s">
        <v>966</v>
      </c>
      <c r="I561" s="10" t="s">
        <v>1785</v>
      </c>
    </row>
    <row r="562" spans="1:9" ht="75" x14ac:dyDescent="0.25">
      <c r="A562" s="2">
        <v>559</v>
      </c>
      <c r="B562" s="3" t="s">
        <v>1786</v>
      </c>
      <c r="C562" s="3" t="s">
        <v>1065</v>
      </c>
      <c r="D562" s="3" t="s">
        <v>1787</v>
      </c>
      <c r="E562" s="2">
        <v>2020</v>
      </c>
      <c r="F562" s="3" t="s">
        <v>1788</v>
      </c>
      <c r="G562" s="2" t="s">
        <v>12</v>
      </c>
      <c r="H562" s="3" t="s">
        <v>48</v>
      </c>
      <c r="I562" s="10" t="str">
        <f>HYPERLINK("http://dx.doi.org/10.1007/s10562-019-02968-4","http://dx.doi.org/10.1007/s10562-019-02968-4")</f>
        <v>http://dx.doi.org/10.1007/s10562-019-02968-4</v>
      </c>
    </row>
    <row r="563" spans="1:9" ht="90" x14ac:dyDescent="0.25">
      <c r="A563" s="2">
        <v>560</v>
      </c>
      <c r="B563" s="3" t="s">
        <v>1789</v>
      </c>
      <c r="C563" s="3" t="s">
        <v>1790</v>
      </c>
      <c r="D563" s="3" t="s">
        <v>1791</v>
      </c>
      <c r="E563" s="2">
        <v>2019</v>
      </c>
      <c r="F563" s="3" t="s">
        <v>1330</v>
      </c>
      <c r="G563" s="2" t="s">
        <v>12</v>
      </c>
      <c r="H563" s="3" t="s">
        <v>48</v>
      </c>
      <c r="I563" s="10" t="str">
        <f>HYPERLINK("http://dx.doi.org/10.1007/s11164-019-03906-0","http://dx.doi.org/10.1007/s11164-019-03906-0")</f>
        <v>http://dx.doi.org/10.1007/s11164-019-03906-0</v>
      </c>
    </row>
    <row r="564" spans="1:9" ht="105" x14ac:dyDescent="0.25">
      <c r="A564" s="2">
        <v>561</v>
      </c>
      <c r="B564" s="3" t="s">
        <v>1792</v>
      </c>
      <c r="C564" s="3" t="s">
        <v>1793</v>
      </c>
      <c r="D564" s="3" t="s">
        <v>1794</v>
      </c>
      <c r="E564" s="2">
        <v>2023</v>
      </c>
      <c r="F564" s="3" t="s">
        <v>1795</v>
      </c>
      <c r="G564" s="2" t="s">
        <v>12</v>
      </c>
      <c r="H564" s="3" t="s">
        <v>28</v>
      </c>
      <c r="I564" s="10" t="str">
        <f>HYPERLINK("http://dx.doi.org/10.1021/acs.energyfuels.2c04377","http://dx.doi.org/10.1021/acs.energyfuels.2c04377")</f>
        <v>http://dx.doi.org/10.1021/acs.energyfuels.2c04377</v>
      </c>
    </row>
    <row r="565" spans="1:9" ht="105" x14ac:dyDescent="0.25">
      <c r="A565" s="2">
        <v>562</v>
      </c>
      <c r="B565" s="3" t="s">
        <v>1796</v>
      </c>
      <c r="C565" s="3" t="s">
        <v>1797</v>
      </c>
      <c r="D565" s="3" t="s">
        <v>1798</v>
      </c>
      <c r="E565" s="2">
        <v>2022</v>
      </c>
      <c r="F565" s="3" t="s">
        <v>704</v>
      </c>
      <c r="G565" s="2" t="s">
        <v>12</v>
      </c>
      <c r="H565" s="3" t="s">
        <v>1337</v>
      </c>
      <c r="I565" s="10" t="str">
        <f>HYPERLINK("http://dx.doi.org/10.1007/s00044-022-02929-4","http://dx.doi.org/10.1007/s00044-022-02929-4")</f>
        <v>http://dx.doi.org/10.1007/s00044-022-02929-4</v>
      </c>
    </row>
    <row r="566" spans="1:9" ht="105" x14ac:dyDescent="0.25">
      <c r="A566" s="2">
        <v>563</v>
      </c>
      <c r="B566" s="3" t="s">
        <v>1799</v>
      </c>
      <c r="C566" s="3" t="s">
        <v>1238</v>
      </c>
      <c r="D566" s="3" t="s">
        <v>1800</v>
      </c>
      <c r="E566" s="2">
        <v>2022</v>
      </c>
      <c r="F566" s="3" t="s">
        <v>1801</v>
      </c>
      <c r="G566" s="2" t="s">
        <v>12</v>
      </c>
      <c r="H566" s="3" t="s">
        <v>277</v>
      </c>
      <c r="I566" s="10" t="str">
        <f>HYPERLINK("http://dx.doi.org/10.1016/j.jcrysgro.2022.126588","http://dx.doi.org/10.1016/j.jcrysgro.2022.126588")</f>
        <v>http://dx.doi.org/10.1016/j.jcrysgro.2022.126588</v>
      </c>
    </row>
    <row r="567" spans="1:9" ht="75" x14ac:dyDescent="0.25">
      <c r="A567" s="2">
        <v>564</v>
      </c>
      <c r="B567" s="3" t="s">
        <v>1802</v>
      </c>
      <c r="C567" s="3" t="s">
        <v>211</v>
      </c>
      <c r="D567" s="3" t="s">
        <v>1803</v>
      </c>
      <c r="E567" s="2">
        <v>2021</v>
      </c>
      <c r="F567" s="3" t="s">
        <v>1804</v>
      </c>
      <c r="G567" s="2" t="s">
        <v>12</v>
      </c>
      <c r="H567" s="3" t="s">
        <v>799</v>
      </c>
      <c r="I567" s="10" t="str">
        <f>HYPERLINK("http://dx.doi.org/10.3390/electronics10243158","http://dx.doi.org/10.3390/electronics10243158")</f>
        <v>http://dx.doi.org/10.3390/electronics10243158</v>
      </c>
    </row>
    <row r="568" spans="1:9" ht="75" x14ac:dyDescent="0.25">
      <c r="A568" s="2">
        <v>565</v>
      </c>
      <c r="B568" s="3" t="s">
        <v>1805</v>
      </c>
      <c r="C568" s="3" t="s">
        <v>1413</v>
      </c>
      <c r="D568" s="3" t="s">
        <v>1806</v>
      </c>
      <c r="E568" s="2">
        <v>2020</v>
      </c>
      <c r="F568" s="3" t="s">
        <v>261</v>
      </c>
      <c r="G568" s="2" t="s">
        <v>12</v>
      </c>
      <c r="H568" s="3" t="s">
        <v>698</v>
      </c>
      <c r="I568" s="10" t="str">
        <f>HYPERLINK("http://dx.doi.org/10.1134/S107042802007026X","http://dx.doi.org/10.1134/S107042802007026X")</f>
        <v>http://dx.doi.org/10.1134/S107042802007026X</v>
      </c>
    </row>
    <row r="569" spans="1:9" ht="60" x14ac:dyDescent="0.25">
      <c r="A569" s="2">
        <v>566</v>
      </c>
      <c r="B569" s="3" t="s">
        <v>1807</v>
      </c>
      <c r="C569" s="3" t="s">
        <v>1808</v>
      </c>
      <c r="D569" s="3" t="s">
        <v>1809</v>
      </c>
      <c r="E569" s="2">
        <v>2021</v>
      </c>
      <c r="F569" s="3" t="s">
        <v>1054</v>
      </c>
      <c r="G569" s="2" t="s">
        <v>12</v>
      </c>
      <c r="H569" s="3" t="s">
        <v>205</v>
      </c>
      <c r="I569" s="10" t="str">
        <f>HYPERLINK("http://dx.doi.org/10.1080/07391102.2020.1786460","http://dx.doi.org/10.1080/07391102.2020.1786460")</f>
        <v>http://dx.doi.org/10.1080/07391102.2020.1786460</v>
      </c>
    </row>
    <row r="570" spans="1:9" ht="60" x14ac:dyDescent="0.25">
      <c r="A570" s="2">
        <v>567</v>
      </c>
      <c r="B570" s="3" t="s">
        <v>1810</v>
      </c>
      <c r="C570" s="3" t="s">
        <v>60</v>
      </c>
      <c r="D570" s="3" t="s">
        <v>1811</v>
      </c>
      <c r="E570" s="2">
        <v>2020</v>
      </c>
      <c r="F570" s="3" t="s">
        <v>1812</v>
      </c>
      <c r="G570" s="2" t="s">
        <v>12</v>
      </c>
      <c r="H570" s="3" t="s">
        <v>1813</v>
      </c>
      <c r="I570" s="10" t="str">
        <f>HYPERLINK("http://dx.doi.org/10.1680/jnaen.19.00006","http://dx.doi.org/10.1680/jnaen.19.00006")</f>
        <v>http://dx.doi.org/10.1680/jnaen.19.00006</v>
      </c>
    </row>
    <row r="571" spans="1:9" ht="75" x14ac:dyDescent="0.25">
      <c r="A571" s="2">
        <v>568</v>
      </c>
      <c r="B571" s="3" t="s">
        <v>1814</v>
      </c>
      <c r="C571" s="3" t="s">
        <v>1815</v>
      </c>
      <c r="D571" s="3" t="s">
        <v>1816</v>
      </c>
      <c r="E571" s="2">
        <v>2020</v>
      </c>
      <c r="F571" s="3" t="s">
        <v>1817</v>
      </c>
      <c r="G571" s="2" t="s">
        <v>12</v>
      </c>
      <c r="H571" s="3" t="s">
        <v>277</v>
      </c>
      <c r="I571" s="10" t="str">
        <f>HYPERLINK("http://dx.doi.org/10.1016/j.molliq.2019.111819","http://dx.doi.org/10.1016/j.molliq.2019.111819")</f>
        <v>http://dx.doi.org/10.1016/j.molliq.2019.111819</v>
      </c>
    </row>
    <row r="572" spans="1:9" ht="90" x14ac:dyDescent="0.25">
      <c r="A572" s="2">
        <v>569</v>
      </c>
      <c r="B572" s="3" t="s">
        <v>1818</v>
      </c>
      <c r="C572" s="3" t="s">
        <v>25</v>
      </c>
      <c r="D572" s="3" t="s">
        <v>1819</v>
      </c>
      <c r="E572" s="2">
        <v>2018</v>
      </c>
      <c r="F572" s="3" t="s">
        <v>941</v>
      </c>
      <c r="G572" s="2" t="s">
        <v>12</v>
      </c>
      <c r="H572" s="3" t="s">
        <v>277</v>
      </c>
      <c r="I572" s="10" t="str">
        <f>HYPERLINK("http://dx.doi.org/10.1016/j.msec.2018.08.025","http://dx.doi.org/10.1016/j.msec.2018.08.025")</f>
        <v>http://dx.doi.org/10.1016/j.msec.2018.08.025</v>
      </c>
    </row>
    <row r="573" spans="1:9" ht="45" x14ac:dyDescent="0.25">
      <c r="A573" s="2">
        <v>570</v>
      </c>
      <c r="B573" s="3" t="s">
        <v>1820</v>
      </c>
      <c r="C573" s="3" t="s">
        <v>1778</v>
      </c>
      <c r="D573" s="3" t="s">
        <v>1821</v>
      </c>
      <c r="E573" s="2">
        <v>2018</v>
      </c>
      <c r="F573" s="3" t="s">
        <v>261</v>
      </c>
      <c r="G573" s="2" t="s">
        <v>12</v>
      </c>
      <c r="H573" s="3" t="s">
        <v>67</v>
      </c>
      <c r="I573" s="10" t="str">
        <f>HYPERLINK("http://dx.doi.org/10.1111/1348-0421.12576","http://dx.doi.org/10.1111/1348-0421.12576")</f>
        <v>http://dx.doi.org/10.1111/1348-0421.12576</v>
      </c>
    </row>
    <row r="574" spans="1:9" ht="45" x14ac:dyDescent="0.25">
      <c r="A574" s="2">
        <v>571</v>
      </c>
      <c r="B574" s="3" t="s">
        <v>1822</v>
      </c>
      <c r="C574" s="3" t="s">
        <v>1823</v>
      </c>
      <c r="D574" s="3" t="s">
        <v>1824</v>
      </c>
      <c r="E574" s="2">
        <v>2022</v>
      </c>
      <c r="F574" s="3" t="s">
        <v>1564</v>
      </c>
      <c r="G574" s="2" t="s">
        <v>12</v>
      </c>
      <c r="H574" s="3" t="s">
        <v>23</v>
      </c>
      <c r="I574" s="10" t="str">
        <f>HYPERLINK("http://dx.doi.org/10.1002/ardp.202200123","http://dx.doi.org/10.1002/ardp.202200123")</f>
        <v>http://dx.doi.org/10.1002/ardp.202200123</v>
      </c>
    </row>
    <row r="575" spans="1:9" ht="90" x14ac:dyDescent="0.25">
      <c r="A575" s="2">
        <v>572</v>
      </c>
      <c r="B575" s="3" t="s">
        <v>1802</v>
      </c>
      <c r="C575" s="3" t="s">
        <v>1152</v>
      </c>
      <c r="D575" s="3" t="s">
        <v>1825</v>
      </c>
      <c r="E575" s="2">
        <v>2022</v>
      </c>
      <c r="F575" s="3" t="s">
        <v>27</v>
      </c>
      <c r="G575" s="2" t="s">
        <v>12</v>
      </c>
      <c r="H575" s="3" t="s">
        <v>799</v>
      </c>
      <c r="I575" s="10" t="str">
        <f>HYPERLINK("http://dx.doi.org/10.3390/s22041629","http://dx.doi.org/10.3390/s22041629")</f>
        <v>http://dx.doi.org/10.3390/s22041629</v>
      </c>
    </row>
    <row r="576" spans="1:9" ht="90" x14ac:dyDescent="0.25">
      <c r="A576" s="2">
        <v>573</v>
      </c>
      <c r="B576" s="3" t="s">
        <v>1826</v>
      </c>
      <c r="C576" s="3" t="s">
        <v>1390</v>
      </c>
      <c r="D576" s="3" t="s">
        <v>1827</v>
      </c>
      <c r="E576" s="2">
        <v>2019</v>
      </c>
      <c r="F576" s="3" t="s">
        <v>1828</v>
      </c>
      <c r="G576" s="2" t="s">
        <v>12</v>
      </c>
      <c r="H576" s="3" t="s">
        <v>58</v>
      </c>
      <c r="I576" s="10" t="str">
        <f>HYPERLINK("http://dx.doi.org/10.1039/c9nj00377k","http://dx.doi.org/10.1039/c9nj00377k")</f>
        <v>http://dx.doi.org/10.1039/c9nj00377k</v>
      </c>
    </row>
    <row r="577" spans="1:9" ht="90" x14ac:dyDescent="0.25">
      <c r="A577" s="2">
        <v>574</v>
      </c>
      <c r="B577" s="3" t="s">
        <v>1829</v>
      </c>
      <c r="C577" s="3" t="s">
        <v>1830</v>
      </c>
      <c r="D577" s="3" t="s">
        <v>1831</v>
      </c>
      <c r="E577" s="2">
        <v>2023</v>
      </c>
      <c r="F577" s="3" t="s">
        <v>1431</v>
      </c>
      <c r="G577" s="2" t="s">
        <v>12</v>
      </c>
      <c r="H577" s="3" t="s">
        <v>181</v>
      </c>
      <c r="I577" s="10" t="str">
        <f>HYPERLINK("http://dx.doi.org/10.1016/j.bmcl.2023.129551","http://dx.doi.org/10.1016/j.bmcl.2023.129551")</f>
        <v>http://dx.doi.org/10.1016/j.bmcl.2023.129551</v>
      </c>
    </row>
    <row r="578" spans="1:9" ht="60" x14ac:dyDescent="0.25">
      <c r="A578" s="2">
        <v>575</v>
      </c>
      <c r="B578" s="3" t="s">
        <v>1832</v>
      </c>
      <c r="C578" s="3" t="s">
        <v>1833</v>
      </c>
      <c r="D578" s="3" t="s">
        <v>1834</v>
      </c>
      <c r="E578" s="2">
        <v>2021</v>
      </c>
      <c r="F578" s="3" t="s">
        <v>1023</v>
      </c>
      <c r="G578" s="2" t="s">
        <v>12</v>
      </c>
      <c r="H578" s="3" t="s">
        <v>277</v>
      </c>
      <c r="I578" s="10" t="str">
        <f>HYPERLINK("http://dx.doi.org/10.1016/j.mtcomm.2021.102972","http://dx.doi.org/10.1016/j.mtcomm.2021.102972")</f>
        <v>http://dx.doi.org/10.1016/j.mtcomm.2021.102972</v>
      </c>
    </row>
    <row r="579" spans="1:9" ht="75" x14ac:dyDescent="0.25">
      <c r="A579" s="2">
        <v>576</v>
      </c>
      <c r="B579" s="3" t="s">
        <v>1835</v>
      </c>
      <c r="C579" s="3" t="s">
        <v>1836</v>
      </c>
      <c r="D579" s="3" t="s">
        <v>1837</v>
      </c>
      <c r="E579" s="2">
        <v>2021</v>
      </c>
      <c r="F579" s="3" t="s">
        <v>1838</v>
      </c>
      <c r="G579" s="2" t="s">
        <v>12</v>
      </c>
      <c r="H579" s="3" t="s">
        <v>277</v>
      </c>
      <c r="I579" s="10" t="str">
        <f>HYPERLINK("http://dx.doi.org/10.1016/j.cattod.2020.12.008","http://dx.doi.org/10.1016/j.cattod.2020.12.008")</f>
        <v>http://dx.doi.org/10.1016/j.cattod.2020.12.008</v>
      </c>
    </row>
    <row r="580" spans="1:9" ht="105" x14ac:dyDescent="0.25">
      <c r="A580" s="2">
        <v>577</v>
      </c>
      <c r="B580" s="3" t="s">
        <v>1839</v>
      </c>
      <c r="C580" s="3" t="s">
        <v>1840</v>
      </c>
      <c r="D580" s="3" t="s">
        <v>1841</v>
      </c>
      <c r="E580" s="2">
        <v>2021</v>
      </c>
      <c r="F580" s="3" t="s">
        <v>708</v>
      </c>
      <c r="G580" s="2" t="s">
        <v>12</v>
      </c>
      <c r="H580" s="3" t="s">
        <v>23</v>
      </c>
      <c r="I580" s="10" t="str">
        <f>HYPERLINK("http://dx.doi.org/10.1002/slct.202004666","http://dx.doi.org/10.1002/slct.202004666")</f>
        <v>http://dx.doi.org/10.1002/slct.202004666</v>
      </c>
    </row>
    <row r="581" spans="1:9" ht="60" x14ac:dyDescent="0.25">
      <c r="A581" s="2">
        <v>578</v>
      </c>
      <c r="B581" s="3" t="s">
        <v>1586</v>
      </c>
      <c r="C581" s="3" t="s">
        <v>1113</v>
      </c>
      <c r="D581" s="3" t="s">
        <v>1842</v>
      </c>
      <c r="E581" s="2">
        <v>2021</v>
      </c>
      <c r="F581" s="3" t="s">
        <v>1843</v>
      </c>
      <c r="G581" s="2" t="s">
        <v>12</v>
      </c>
      <c r="H581" s="3" t="s">
        <v>439</v>
      </c>
      <c r="I581" s="10" t="str">
        <f>HYPERLINK("http://dx.doi.org/10.1007/s00339-021-04314-1","http://dx.doi.org/10.1007/s00339-021-04314-1")</f>
        <v>http://dx.doi.org/10.1007/s00339-021-04314-1</v>
      </c>
    </row>
    <row r="582" spans="1:9" ht="60" x14ac:dyDescent="0.25">
      <c r="A582" s="2">
        <v>579</v>
      </c>
      <c r="B582" s="3" t="s">
        <v>1844</v>
      </c>
      <c r="C582" s="3" t="s">
        <v>1165</v>
      </c>
      <c r="D582" s="3" t="s">
        <v>1845</v>
      </c>
      <c r="E582" s="2">
        <v>2020</v>
      </c>
      <c r="F582" s="3" t="s">
        <v>791</v>
      </c>
      <c r="G582" s="2" t="s">
        <v>12</v>
      </c>
      <c r="H582" s="3" t="s">
        <v>439</v>
      </c>
      <c r="I582" s="10" t="str">
        <f>HYPERLINK("http://dx.doi.org/10.1007/s00339-020-03907-6","http://dx.doi.org/10.1007/s00339-020-03907-6")</f>
        <v>http://dx.doi.org/10.1007/s00339-020-03907-6</v>
      </c>
    </row>
    <row r="583" spans="1:9" ht="90" x14ac:dyDescent="0.25">
      <c r="A583" s="2">
        <v>580</v>
      </c>
      <c r="B583" s="3" t="s">
        <v>1846</v>
      </c>
      <c r="C583" s="3" t="s">
        <v>1847</v>
      </c>
      <c r="D583" s="3" t="s">
        <v>1848</v>
      </c>
      <c r="E583" s="2">
        <v>2020</v>
      </c>
      <c r="F583" s="3" t="s">
        <v>1704</v>
      </c>
      <c r="G583" s="2" t="s">
        <v>12</v>
      </c>
      <c r="H583" s="3" t="s">
        <v>277</v>
      </c>
      <c r="I583" s="10" t="str">
        <f>HYPERLINK("http://dx.doi.org/10.1016/j.physb.2020.412051","http://dx.doi.org/10.1016/j.physb.2020.412051")</f>
        <v>http://dx.doi.org/10.1016/j.physb.2020.412051</v>
      </c>
    </row>
    <row r="584" spans="1:9" ht="45" x14ac:dyDescent="0.25">
      <c r="A584" s="2">
        <v>581</v>
      </c>
      <c r="B584" s="3" t="s">
        <v>1849</v>
      </c>
      <c r="C584" s="3" t="s">
        <v>211</v>
      </c>
      <c r="D584" s="3" t="s">
        <v>1850</v>
      </c>
      <c r="E584" s="2">
        <v>2019</v>
      </c>
      <c r="F584" s="3" t="s">
        <v>1851</v>
      </c>
      <c r="G584" s="2" t="s">
        <v>12</v>
      </c>
      <c r="H584" s="3" t="s">
        <v>18</v>
      </c>
      <c r="I584" s="10" t="str">
        <f>HYPERLINK("http://dx.doi.org/10.1007/978-981-13-1747-7_13","http://dx.doi.org/10.1007/978-981-13-1747-7_13")</f>
        <v>http://dx.doi.org/10.1007/978-981-13-1747-7_13</v>
      </c>
    </row>
    <row r="585" spans="1:9" ht="75" x14ac:dyDescent="0.25">
      <c r="A585" s="2">
        <v>582</v>
      </c>
      <c r="B585" s="3" t="s">
        <v>1852</v>
      </c>
      <c r="C585" s="3" t="s">
        <v>1853</v>
      </c>
      <c r="D585" s="3" t="s">
        <v>1854</v>
      </c>
      <c r="E585" s="2">
        <v>2018</v>
      </c>
      <c r="F585" s="3" t="s">
        <v>941</v>
      </c>
      <c r="G585" s="2" t="s">
        <v>12</v>
      </c>
      <c r="H585" s="3" t="s">
        <v>686</v>
      </c>
      <c r="I585" s="10" t="str">
        <f>HYPERLINK("http://dx.doi.org/10.1016/j.jpha.2018.03.001","http://dx.doi.org/10.1016/j.jpha.2018.03.001")</f>
        <v>http://dx.doi.org/10.1016/j.jpha.2018.03.001</v>
      </c>
    </row>
    <row r="586" spans="1:9" ht="90" x14ac:dyDescent="0.25">
      <c r="A586" s="2">
        <v>583</v>
      </c>
      <c r="B586" s="3" t="s">
        <v>1855</v>
      </c>
      <c r="C586" s="3" t="s">
        <v>961</v>
      </c>
      <c r="D586" s="3" t="s">
        <v>1856</v>
      </c>
      <c r="E586" s="2">
        <v>2020</v>
      </c>
      <c r="F586" s="3" t="s">
        <v>1857</v>
      </c>
      <c r="G586" s="2" t="s">
        <v>12</v>
      </c>
      <c r="H586" s="3" t="s">
        <v>67</v>
      </c>
      <c r="I586" s="10" t="str">
        <f>HYPERLINK("http://dx.doi.org/10.1002/jhet.4072","http://dx.doi.org/10.1002/jhet.4072")</f>
        <v>http://dx.doi.org/10.1002/jhet.4072</v>
      </c>
    </row>
    <row r="587" spans="1:9" ht="75" x14ac:dyDescent="0.25">
      <c r="A587" s="2">
        <v>584</v>
      </c>
      <c r="B587" s="3" t="s">
        <v>1858</v>
      </c>
      <c r="C587" s="3" t="s">
        <v>1390</v>
      </c>
      <c r="D587" s="3" t="s">
        <v>1859</v>
      </c>
      <c r="E587" s="2">
        <v>2020</v>
      </c>
      <c r="F587" s="3" t="s">
        <v>786</v>
      </c>
      <c r="G587" s="2" t="s">
        <v>12</v>
      </c>
      <c r="H587" s="3" t="s">
        <v>23</v>
      </c>
      <c r="I587" s="10" t="str">
        <f>HYPERLINK("http://dx.doi.org/10.1002/chem.202001589","http://dx.doi.org/10.1002/chem.202001589")</f>
        <v>http://dx.doi.org/10.1002/chem.202001589</v>
      </c>
    </row>
    <row r="588" spans="1:9" ht="60" x14ac:dyDescent="0.25">
      <c r="A588" s="2">
        <v>585</v>
      </c>
      <c r="B588" s="3" t="s">
        <v>1860</v>
      </c>
      <c r="C588" s="3" t="s">
        <v>1861</v>
      </c>
      <c r="D588" s="3" t="s">
        <v>1862</v>
      </c>
      <c r="E588" s="2">
        <v>2019</v>
      </c>
      <c r="F588" s="3" t="s">
        <v>955</v>
      </c>
      <c r="G588" s="2" t="s">
        <v>12</v>
      </c>
      <c r="H588" s="3" t="s">
        <v>48</v>
      </c>
      <c r="I588" s="10" t="str">
        <f>HYPERLINK("http://dx.doi.org/10.1007/s10854-019-00688-4","http://dx.doi.org/10.1007/s10854-019-00688-4")</f>
        <v>http://dx.doi.org/10.1007/s10854-019-00688-4</v>
      </c>
    </row>
    <row r="589" spans="1:9" ht="60" x14ac:dyDescent="0.25">
      <c r="A589" s="2">
        <v>586</v>
      </c>
      <c r="B589" s="3" t="s">
        <v>1543</v>
      </c>
      <c r="C589" s="3" t="s">
        <v>1390</v>
      </c>
      <c r="D589" s="3" t="s">
        <v>1863</v>
      </c>
      <c r="E589" s="2">
        <v>2018</v>
      </c>
      <c r="F589" s="3" t="s">
        <v>1352</v>
      </c>
      <c r="G589" s="2" t="s">
        <v>12</v>
      </c>
      <c r="H589" s="3" t="s">
        <v>525</v>
      </c>
      <c r="I589" s="10" t="str">
        <f>HYPERLINK("http://dx.doi.org/10.1063/1.5033008","http://dx.doi.org/10.1063/1.5033008")</f>
        <v>http://dx.doi.org/10.1063/1.5033008</v>
      </c>
    </row>
    <row r="590" spans="1:9" ht="75" x14ac:dyDescent="0.25">
      <c r="A590" s="2">
        <v>587</v>
      </c>
      <c r="B590" s="3" t="s">
        <v>1864</v>
      </c>
      <c r="C590" s="3" t="s">
        <v>1865</v>
      </c>
      <c r="D590" s="3" t="s">
        <v>1866</v>
      </c>
      <c r="E590" s="2">
        <v>2023</v>
      </c>
      <c r="F590" s="3" t="s">
        <v>1349</v>
      </c>
      <c r="G590" s="2" t="s">
        <v>12</v>
      </c>
      <c r="H590" s="3" t="s">
        <v>181</v>
      </c>
      <c r="I590" s="10" t="str">
        <f>HYPERLINK("http://dx.doi.org/10.1016/j.ssc.2022.115016","http://dx.doi.org/10.1016/j.ssc.2022.115016")</f>
        <v>http://dx.doi.org/10.1016/j.ssc.2022.115016</v>
      </c>
    </row>
    <row r="591" spans="1:9" ht="90" x14ac:dyDescent="0.25">
      <c r="A591" s="2">
        <v>588</v>
      </c>
      <c r="B591" s="3" t="s">
        <v>1867</v>
      </c>
      <c r="C591" s="3" t="s">
        <v>925</v>
      </c>
      <c r="D591" s="3" t="s">
        <v>1868</v>
      </c>
      <c r="E591" s="2">
        <v>2020</v>
      </c>
      <c r="F591" s="3" t="s">
        <v>1869</v>
      </c>
      <c r="G591" s="2" t="s">
        <v>12</v>
      </c>
      <c r="H591" s="3" t="s">
        <v>67</v>
      </c>
      <c r="I591" s="10" t="str">
        <f>HYPERLINK("http://dx.doi.org/10.1002/jhet.4135","http://dx.doi.org/10.1002/jhet.4135")</f>
        <v>http://dx.doi.org/10.1002/jhet.4135</v>
      </c>
    </row>
    <row r="592" spans="1:9" ht="105" x14ac:dyDescent="0.25">
      <c r="A592" s="2">
        <v>589</v>
      </c>
      <c r="B592" s="3" t="s">
        <v>1870</v>
      </c>
      <c r="C592" s="3" t="s">
        <v>1871</v>
      </c>
      <c r="D592" s="3" t="s">
        <v>1872</v>
      </c>
      <c r="E592" s="2">
        <v>2019</v>
      </c>
      <c r="F592" s="3" t="s">
        <v>1431</v>
      </c>
      <c r="G592" s="2" t="s">
        <v>12</v>
      </c>
      <c r="H592" s="3" t="s">
        <v>205</v>
      </c>
      <c r="I592" s="10" t="str">
        <f>HYPERLINK("http://dx.doi.org/10.1080/00397911.2018.1564928","http://dx.doi.org/10.1080/00397911.2018.1564928")</f>
        <v>http://dx.doi.org/10.1080/00397911.2018.1564928</v>
      </c>
    </row>
    <row r="593" spans="1:9" ht="90" x14ac:dyDescent="0.25">
      <c r="A593" s="2">
        <v>590</v>
      </c>
      <c r="B593" s="3" t="s">
        <v>1873</v>
      </c>
      <c r="C593" s="3" t="s">
        <v>1874</v>
      </c>
      <c r="D593" s="3" t="s">
        <v>1875</v>
      </c>
      <c r="E593" s="2">
        <v>2019</v>
      </c>
      <c r="F593" s="3" t="s">
        <v>1876</v>
      </c>
      <c r="G593" s="2" t="s">
        <v>12</v>
      </c>
      <c r="H593" s="3" t="s">
        <v>48</v>
      </c>
      <c r="I593" s="10" t="str">
        <f>HYPERLINK("http://dx.doi.org/10.1007/s10854-018-0252-1","http://dx.doi.org/10.1007/s10854-018-0252-1")</f>
        <v>http://dx.doi.org/10.1007/s10854-018-0252-1</v>
      </c>
    </row>
    <row r="594" spans="1:9" ht="75" x14ac:dyDescent="0.25">
      <c r="A594" s="2">
        <v>591</v>
      </c>
      <c r="B594" s="3" t="s">
        <v>1877</v>
      </c>
      <c r="C594" s="3" t="s">
        <v>1808</v>
      </c>
      <c r="D594" s="3" t="s">
        <v>1878</v>
      </c>
      <c r="E594" s="2">
        <v>2023</v>
      </c>
      <c r="F594" s="3" t="s">
        <v>757</v>
      </c>
      <c r="G594" s="2" t="s">
        <v>12</v>
      </c>
      <c r="H594" s="3" t="s">
        <v>91</v>
      </c>
      <c r="I594" s="10" t="str">
        <f>HYPERLINK("http://dx.doi.org/10.1080/10406638.2023.2242552","http://dx.doi.org/10.1080/10406638.2023.2242552")</f>
        <v>http://dx.doi.org/10.1080/10406638.2023.2242552</v>
      </c>
    </row>
    <row r="595" spans="1:9" ht="45" x14ac:dyDescent="0.25">
      <c r="A595" s="2">
        <v>592</v>
      </c>
      <c r="B595" s="3" t="s">
        <v>1548</v>
      </c>
      <c r="C595" s="3" t="s">
        <v>1113</v>
      </c>
      <c r="D595" s="3" t="s">
        <v>1879</v>
      </c>
      <c r="E595" s="2">
        <v>2022</v>
      </c>
      <c r="F595" s="3" t="s">
        <v>1880</v>
      </c>
      <c r="G595" s="2" t="s">
        <v>12</v>
      </c>
      <c r="H595" s="3" t="s">
        <v>799</v>
      </c>
      <c r="I595" s="10" t="str">
        <f>HYPERLINK("http://dx.doi.org/10.3390/fractalfract6090495","http://dx.doi.org/10.3390/fractalfract6090495")</f>
        <v>http://dx.doi.org/10.3390/fractalfract6090495</v>
      </c>
    </row>
    <row r="596" spans="1:9" ht="75" x14ac:dyDescent="0.25">
      <c r="A596" s="2">
        <v>593</v>
      </c>
      <c r="B596" s="3" t="s">
        <v>1881</v>
      </c>
      <c r="C596" s="3" t="s">
        <v>1882</v>
      </c>
      <c r="D596" s="3" t="s">
        <v>1883</v>
      </c>
      <c r="E596" s="2">
        <v>2023</v>
      </c>
      <c r="F596" s="3" t="s">
        <v>1093</v>
      </c>
      <c r="G596" s="2" t="s">
        <v>12</v>
      </c>
      <c r="H596" s="3" t="s">
        <v>923</v>
      </c>
      <c r="I596" s="10" t="str">
        <f>HYPERLINK("http://dx.doi.org/10.1108/JEEE-12-2021-0486","http://dx.doi.org/10.1108/JEEE-12-2021-0486")</f>
        <v>http://dx.doi.org/10.1108/JEEE-12-2021-0486</v>
      </c>
    </row>
    <row r="597" spans="1:9" ht="120" x14ac:dyDescent="0.25">
      <c r="A597" s="2">
        <v>594</v>
      </c>
      <c r="B597" s="3" t="s">
        <v>186</v>
      </c>
      <c r="C597" s="3" t="s">
        <v>1884</v>
      </c>
      <c r="D597" s="3" t="s">
        <v>1885</v>
      </c>
      <c r="E597" s="2">
        <v>2021</v>
      </c>
      <c r="F597" s="3" t="s">
        <v>1886</v>
      </c>
      <c r="G597" s="2" t="s">
        <v>12</v>
      </c>
      <c r="H597" s="3" t="s">
        <v>67</v>
      </c>
      <c r="I597" s="10" t="str">
        <f>HYPERLINK("http://dx.doi.org/10.1111/jfpp.15324","http://dx.doi.org/10.1111/jfpp.15324")</f>
        <v>http://dx.doi.org/10.1111/jfpp.15324</v>
      </c>
    </row>
    <row r="598" spans="1:9" ht="60" x14ac:dyDescent="0.25">
      <c r="A598" s="2">
        <v>595</v>
      </c>
      <c r="B598" s="3" t="s">
        <v>1887</v>
      </c>
      <c r="C598" s="3" t="s">
        <v>211</v>
      </c>
      <c r="D598" s="3" t="s">
        <v>1888</v>
      </c>
      <c r="E598" s="2">
        <v>2020</v>
      </c>
      <c r="F598" s="3" t="s">
        <v>1340</v>
      </c>
      <c r="G598" s="2" t="s">
        <v>12</v>
      </c>
      <c r="H598" s="3" t="s">
        <v>91</v>
      </c>
      <c r="I598" s="10" t="str">
        <f>HYPERLINK("http://dx.doi.org/10.1080/10584587.2019.1675001","http://dx.doi.org/10.1080/10584587.2019.1675001")</f>
        <v>http://dx.doi.org/10.1080/10584587.2019.1675001</v>
      </c>
    </row>
    <row r="599" spans="1:9" ht="120" x14ac:dyDescent="0.25">
      <c r="A599" s="2">
        <v>596</v>
      </c>
      <c r="B599" s="3" t="s">
        <v>1889</v>
      </c>
      <c r="C599" s="3" t="s">
        <v>40</v>
      </c>
      <c r="D599" s="3" t="s">
        <v>1890</v>
      </c>
      <c r="E599" s="2">
        <v>2018</v>
      </c>
      <c r="F599" s="3" t="s">
        <v>1109</v>
      </c>
      <c r="G599" s="2" t="s">
        <v>12</v>
      </c>
      <c r="H599" s="3" t="s">
        <v>48</v>
      </c>
      <c r="I599" s="10" t="str">
        <f>HYPERLINK("http://dx.doi.org/10.1007/s11164-018-3479-9","http://dx.doi.org/10.1007/s11164-018-3479-9")</f>
        <v>http://dx.doi.org/10.1007/s11164-018-3479-9</v>
      </c>
    </row>
    <row r="600" spans="1:9" ht="90" x14ac:dyDescent="0.25">
      <c r="A600" s="2">
        <v>597</v>
      </c>
      <c r="B600" s="3" t="s">
        <v>1891</v>
      </c>
      <c r="C600" s="3" t="s">
        <v>820</v>
      </c>
      <c r="D600" s="3" t="s">
        <v>1892</v>
      </c>
      <c r="E600" s="2">
        <v>2018</v>
      </c>
      <c r="F600" s="3" t="s">
        <v>955</v>
      </c>
      <c r="G600" s="2" t="s">
        <v>12</v>
      </c>
      <c r="H600" s="3" t="s">
        <v>48</v>
      </c>
      <c r="I600" s="10" t="str">
        <f>HYPERLINK("http://dx.doi.org/10.1007/s10854-017-8281-8","http://dx.doi.org/10.1007/s10854-017-8281-8")</f>
        <v>http://dx.doi.org/10.1007/s10854-017-8281-8</v>
      </c>
    </row>
    <row r="601" spans="1:9" ht="75" x14ac:dyDescent="0.25">
      <c r="A601" s="2">
        <v>598</v>
      </c>
      <c r="B601" s="3" t="s">
        <v>1814</v>
      </c>
      <c r="C601" s="3" t="s">
        <v>25</v>
      </c>
      <c r="D601" s="3" t="s">
        <v>1893</v>
      </c>
      <c r="E601" s="2">
        <v>2018</v>
      </c>
      <c r="F601" s="3" t="s">
        <v>1616</v>
      </c>
      <c r="G601" s="2" t="s">
        <v>12</v>
      </c>
      <c r="H601" s="3" t="s">
        <v>525</v>
      </c>
      <c r="I601" s="10" t="str">
        <f>HYPERLINK("http://dx.doi.org/10.1063/1.5028625","http://dx.doi.org/10.1063/1.5028625")</f>
        <v>http://dx.doi.org/10.1063/1.5028625</v>
      </c>
    </row>
    <row r="602" spans="1:9" ht="45" x14ac:dyDescent="0.25">
      <c r="A602" s="2">
        <v>599</v>
      </c>
      <c r="B602" s="3" t="s">
        <v>1673</v>
      </c>
      <c r="C602" s="3" t="s">
        <v>1894</v>
      </c>
      <c r="D602" s="3" t="s">
        <v>1895</v>
      </c>
      <c r="E602" s="2">
        <v>2018</v>
      </c>
      <c r="F602" s="3" t="s">
        <v>1301</v>
      </c>
      <c r="G602" s="2" t="s">
        <v>12</v>
      </c>
      <c r="H602" s="3" t="s">
        <v>525</v>
      </c>
      <c r="I602" s="10" t="str">
        <f>HYPERLINK("http://dx.doi.org/10.1063/1.5032974","http://dx.doi.org/10.1063/1.5032974")</f>
        <v>http://dx.doi.org/10.1063/1.5032974</v>
      </c>
    </row>
    <row r="603" spans="1:9" ht="150" x14ac:dyDescent="0.25">
      <c r="A603" s="2">
        <v>600</v>
      </c>
      <c r="B603" s="3" t="s">
        <v>1896</v>
      </c>
      <c r="C603" s="3" t="s">
        <v>1497</v>
      </c>
      <c r="D603" s="3" t="s">
        <v>1897</v>
      </c>
      <c r="E603" s="2">
        <v>2023</v>
      </c>
      <c r="F603" s="3" t="s">
        <v>1349</v>
      </c>
      <c r="G603" s="2" t="s">
        <v>12</v>
      </c>
      <c r="H603" s="3" t="s">
        <v>91</v>
      </c>
      <c r="I603" s="10" t="str">
        <f>HYPERLINK("http://dx.doi.org/10.1080/10406638.2022.2143538","http://dx.doi.org/10.1080/10406638.2022.2143538")</f>
        <v>http://dx.doi.org/10.1080/10406638.2022.2143538</v>
      </c>
    </row>
    <row r="604" spans="1:9" ht="60" x14ac:dyDescent="0.25">
      <c r="A604" s="2">
        <v>601</v>
      </c>
      <c r="B604" s="3" t="s">
        <v>1898</v>
      </c>
      <c r="C604" s="3" t="s">
        <v>1079</v>
      </c>
      <c r="D604" s="3" t="s">
        <v>1899</v>
      </c>
      <c r="E604" s="2">
        <v>2018</v>
      </c>
      <c r="F604" s="3" t="s">
        <v>1900</v>
      </c>
      <c r="G604" s="2" t="s">
        <v>12</v>
      </c>
      <c r="H604" s="3" t="s">
        <v>33</v>
      </c>
      <c r="I604" s="10" t="str">
        <f>HYPERLINK("http://dx.doi.org/10.1016/j.enzmictec.2017.10.007","http://dx.doi.org/10.1016/j.enzmictec.2017.10.007")</f>
        <v>http://dx.doi.org/10.1016/j.enzmictec.2017.10.007</v>
      </c>
    </row>
    <row r="605" spans="1:9" ht="105" x14ac:dyDescent="0.25">
      <c r="A605" s="2">
        <v>602</v>
      </c>
      <c r="B605" s="3" t="s">
        <v>1901</v>
      </c>
      <c r="C605" s="3" t="s">
        <v>1902</v>
      </c>
      <c r="D605" s="3" t="s">
        <v>1903</v>
      </c>
      <c r="E605" s="2">
        <v>2022</v>
      </c>
      <c r="F605" s="3" t="s">
        <v>261</v>
      </c>
      <c r="G605" s="2" t="s">
        <v>12</v>
      </c>
      <c r="H605" s="3" t="s">
        <v>48</v>
      </c>
      <c r="I605" s="10" t="str">
        <f>HYPERLINK("http://dx.doi.org/10.1007/s11082-022-04128-2","http://dx.doi.org/10.1007/s11082-022-04128-2")</f>
        <v>http://dx.doi.org/10.1007/s11082-022-04128-2</v>
      </c>
    </row>
    <row r="606" spans="1:9" ht="60" x14ac:dyDescent="0.25">
      <c r="A606" s="2">
        <v>603</v>
      </c>
      <c r="B606" s="3" t="s">
        <v>1904</v>
      </c>
      <c r="C606" s="3" t="s">
        <v>183</v>
      </c>
      <c r="D606" s="3" t="s">
        <v>1905</v>
      </c>
      <c r="E606" s="2">
        <v>2022</v>
      </c>
      <c r="F606" s="3" t="s">
        <v>1900</v>
      </c>
      <c r="G606" s="2" t="s">
        <v>12</v>
      </c>
      <c r="H606" s="3" t="s">
        <v>48</v>
      </c>
      <c r="I606" s="10" t="str">
        <f>HYPERLINK("http://dx.doi.org/10.1007/s10854-022-08870-x","http://dx.doi.org/10.1007/s10854-022-08870-x")</f>
        <v>http://dx.doi.org/10.1007/s10854-022-08870-x</v>
      </c>
    </row>
    <row r="607" spans="1:9" ht="75" x14ac:dyDescent="0.25">
      <c r="A607" s="2">
        <v>604</v>
      </c>
      <c r="B607" s="3" t="s">
        <v>1906</v>
      </c>
      <c r="C607" s="3" t="s">
        <v>1907</v>
      </c>
      <c r="D607" s="3" t="s">
        <v>1908</v>
      </c>
      <c r="E607" s="2">
        <v>2018</v>
      </c>
      <c r="F607" s="3" t="s">
        <v>261</v>
      </c>
      <c r="G607" s="2" t="s">
        <v>12</v>
      </c>
      <c r="H607" s="3" t="s">
        <v>58</v>
      </c>
      <c r="I607" s="10" t="str">
        <f>HYPERLINK("http://dx.doi.org/10.1039/c8md00055g","http://dx.doi.org/10.1039/c8md00055g")</f>
        <v>http://dx.doi.org/10.1039/c8md00055g</v>
      </c>
    </row>
    <row r="608" spans="1:9" ht="60" x14ac:dyDescent="0.25">
      <c r="A608" s="2">
        <v>605</v>
      </c>
      <c r="B608" s="3" t="s">
        <v>1909</v>
      </c>
      <c r="C608" s="3" t="s">
        <v>855</v>
      </c>
      <c r="D608" s="3" t="s">
        <v>1910</v>
      </c>
      <c r="E608" s="2">
        <v>2018</v>
      </c>
      <c r="F608" s="3" t="s">
        <v>313</v>
      </c>
      <c r="G608" s="2" t="s">
        <v>12</v>
      </c>
      <c r="H608" s="3" t="s">
        <v>525</v>
      </c>
      <c r="I608" s="10" t="str">
        <f>HYPERLINK("http://dx.doi.org/10.1063/1.5032921","http://dx.doi.org/10.1063/1.5032921")</f>
        <v>http://dx.doi.org/10.1063/1.5032921</v>
      </c>
    </row>
    <row r="609" spans="1:9" ht="90" x14ac:dyDescent="0.25">
      <c r="A609" s="2">
        <v>606</v>
      </c>
      <c r="B609" s="3" t="s">
        <v>1901</v>
      </c>
      <c r="C609" s="3" t="s">
        <v>1778</v>
      </c>
      <c r="D609" s="3" t="s">
        <v>1911</v>
      </c>
      <c r="E609" s="2">
        <v>2022</v>
      </c>
      <c r="F609" s="3" t="s">
        <v>1912</v>
      </c>
      <c r="G609" s="2" t="s">
        <v>12</v>
      </c>
      <c r="H609" s="3" t="s">
        <v>1011</v>
      </c>
      <c r="I609" s="10" t="str">
        <f>HYPERLINK("http://dx.doi.org/10.1016/j.ijleo.2022.168573","http://dx.doi.org/10.1016/j.ijleo.2022.168573")</f>
        <v>http://dx.doi.org/10.1016/j.ijleo.2022.168573</v>
      </c>
    </row>
    <row r="610" spans="1:9" ht="60" x14ac:dyDescent="0.25">
      <c r="A610" s="2">
        <v>607</v>
      </c>
      <c r="B610" s="3" t="s">
        <v>1913</v>
      </c>
      <c r="C610" s="3" t="s">
        <v>1914</v>
      </c>
      <c r="D610" s="3" t="s">
        <v>1915</v>
      </c>
      <c r="E610" s="2">
        <v>2021</v>
      </c>
      <c r="F610" s="3" t="s">
        <v>582</v>
      </c>
      <c r="G610" s="2" t="s">
        <v>12</v>
      </c>
      <c r="H610" s="3" t="s">
        <v>1048</v>
      </c>
      <c r="I610" s="10" t="str">
        <f>HYPERLINK("http://dx.doi.org/10.22436/jmcs.023.01.07","http://dx.doi.org/10.22436/jmcs.023.01.07")</f>
        <v>http://dx.doi.org/10.22436/jmcs.023.01.07</v>
      </c>
    </row>
    <row r="611" spans="1:9" ht="135" x14ac:dyDescent="0.25">
      <c r="A611" s="2">
        <v>608</v>
      </c>
      <c r="B611" s="3" t="s">
        <v>1916</v>
      </c>
      <c r="C611" s="3" t="s">
        <v>211</v>
      </c>
      <c r="D611" s="3" t="s">
        <v>1917</v>
      </c>
      <c r="E611" s="2">
        <v>2023</v>
      </c>
      <c r="F611" s="3" t="s">
        <v>504</v>
      </c>
      <c r="G611" s="2" t="s">
        <v>12</v>
      </c>
      <c r="H611" s="3" t="s">
        <v>747</v>
      </c>
      <c r="I611" s="10" t="str">
        <f>HYPERLINK("http://dx.doi.org/10.1016/j.compag.2023.107966","http://dx.doi.org/10.1016/j.compag.2023.107966")</f>
        <v>http://dx.doi.org/10.1016/j.compag.2023.107966</v>
      </c>
    </row>
    <row r="612" spans="1:9" ht="90" x14ac:dyDescent="0.25">
      <c r="A612" s="2">
        <v>609</v>
      </c>
      <c r="B612" s="3" t="s">
        <v>1918</v>
      </c>
      <c r="C612" s="3" t="s">
        <v>1919</v>
      </c>
      <c r="D612" s="3" t="s">
        <v>1920</v>
      </c>
      <c r="E612" s="2">
        <v>2022</v>
      </c>
      <c r="F612" s="3" t="s">
        <v>1194</v>
      </c>
      <c r="G612" s="2" t="s">
        <v>12</v>
      </c>
      <c r="H612" s="3" t="s">
        <v>439</v>
      </c>
      <c r="I612" s="10" t="str">
        <f>HYPERLINK("http://dx.doi.org/10.1557/s43578-022-00800-1","http://dx.doi.org/10.1557/s43578-022-00800-1")</f>
        <v>http://dx.doi.org/10.1557/s43578-022-00800-1</v>
      </c>
    </row>
    <row r="613" spans="1:9" ht="120" x14ac:dyDescent="0.25">
      <c r="A613" s="2">
        <v>610</v>
      </c>
      <c r="B613" s="3" t="s">
        <v>1921</v>
      </c>
      <c r="C613" s="3" t="s">
        <v>849</v>
      </c>
      <c r="D613" s="3" t="s">
        <v>1922</v>
      </c>
      <c r="E613" s="2">
        <v>2023</v>
      </c>
      <c r="F613" s="3" t="s">
        <v>1422</v>
      </c>
      <c r="G613" s="2" t="s">
        <v>12</v>
      </c>
      <c r="H613" s="3" t="s">
        <v>181</v>
      </c>
      <c r="I613" s="10" t="str">
        <f>HYPERLINK("http://dx.doi.org/10.1016/j.vacuum.2022.111583","http://dx.doi.org/10.1016/j.vacuum.2022.111583")</f>
        <v>http://dx.doi.org/10.1016/j.vacuum.2022.111583</v>
      </c>
    </row>
    <row r="614" spans="1:9" ht="90" x14ac:dyDescent="0.25">
      <c r="A614" s="2">
        <v>611</v>
      </c>
      <c r="B614" s="3" t="s">
        <v>1923</v>
      </c>
      <c r="C614" s="3" t="s">
        <v>225</v>
      </c>
      <c r="D614" s="3" t="s">
        <v>1924</v>
      </c>
      <c r="E614" s="2">
        <v>2022</v>
      </c>
      <c r="F614" s="3" t="s">
        <v>1925</v>
      </c>
      <c r="G614" s="2" t="s">
        <v>12</v>
      </c>
      <c r="H614" s="3" t="s">
        <v>583</v>
      </c>
      <c r="I614" s="10" t="str">
        <f>HYPERLINK("http://dx.doi.org/10.1155/2022/6387351","http://dx.doi.org/10.1155/2022/6387351")</f>
        <v>http://dx.doi.org/10.1155/2022/6387351</v>
      </c>
    </row>
    <row r="615" spans="1:9" ht="75" x14ac:dyDescent="0.25">
      <c r="A615" s="2">
        <v>612</v>
      </c>
      <c r="B615" s="3" t="s">
        <v>1926</v>
      </c>
      <c r="C615" s="3" t="s">
        <v>1413</v>
      </c>
      <c r="D615" s="3" t="s">
        <v>1927</v>
      </c>
      <c r="E615" s="2">
        <v>2019</v>
      </c>
      <c r="F615" s="3" t="s">
        <v>261</v>
      </c>
      <c r="G615" s="2" t="s">
        <v>12</v>
      </c>
      <c r="H615" s="3" t="s">
        <v>48</v>
      </c>
      <c r="I615" s="10" t="str">
        <f>HYPERLINK("http://dx.doi.org/10.1007/s11664-019-07329-w","http://dx.doi.org/10.1007/s11664-019-07329-w")</f>
        <v>http://dx.doi.org/10.1007/s11664-019-07329-w</v>
      </c>
    </row>
    <row r="616" spans="1:9" ht="90" x14ac:dyDescent="0.25">
      <c r="A616" s="2">
        <v>613</v>
      </c>
      <c r="B616" s="3" t="s">
        <v>1928</v>
      </c>
      <c r="C616" s="3" t="s">
        <v>1695</v>
      </c>
      <c r="D616" s="3" t="s">
        <v>1929</v>
      </c>
      <c r="E616" s="2">
        <v>2018</v>
      </c>
      <c r="F616" s="3" t="s">
        <v>1109</v>
      </c>
      <c r="G616" s="2" t="s">
        <v>12</v>
      </c>
      <c r="H616" s="3" t="s">
        <v>525</v>
      </c>
      <c r="I616" s="10" t="str">
        <f>HYPERLINK("http://dx.doi.org/10.1063/1.5032333","http://dx.doi.org/10.1063/1.5032333")</f>
        <v>http://dx.doi.org/10.1063/1.5032333</v>
      </c>
    </row>
    <row r="617" spans="1:9" ht="90" x14ac:dyDescent="0.25">
      <c r="A617" s="2">
        <v>614</v>
      </c>
      <c r="B617" s="3" t="s">
        <v>1930</v>
      </c>
      <c r="C617" s="3" t="s">
        <v>1931</v>
      </c>
      <c r="D617" s="3" t="s">
        <v>1932</v>
      </c>
      <c r="E617" s="2">
        <v>2023</v>
      </c>
      <c r="F617" s="3" t="s">
        <v>1933</v>
      </c>
      <c r="G617" s="2" t="s">
        <v>12</v>
      </c>
      <c r="H617" s="3" t="s">
        <v>48</v>
      </c>
      <c r="I617" s="10" t="str">
        <f>HYPERLINK("http://dx.doi.org/10.1007/s10854-023-10552-1","http://dx.doi.org/10.1007/s10854-023-10552-1")</f>
        <v>http://dx.doi.org/10.1007/s10854-023-10552-1</v>
      </c>
    </row>
    <row r="618" spans="1:9" ht="105" x14ac:dyDescent="0.25">
      <c r="A618" s="2">
        <v>615</v>
      </c>
      <c r="B618" s="3" t="s">
        <v>1503</v>
      </c>
      <c r="C618" s="3" t="s">
        <v>1497</v>
      </c>
      <c r="D618" s="3" t="s">
        <v>1934</v>
      </c>
      <c r="E618" s="2">
        <v>2021</v>
      </c>
      <c r="F618" s="3" t="s">
        <v>1900</v>
      </c>
      <c r="G618" s="2" t="s">
        <v>12</v>
      </c>
      <c r="H618" s="3" t="s">
        <v>23</v>
      </c>
      <c r="I618" s="10" t="str">
        <f>HYPERLINK("http://dx.doi.org/10.1002/masy.202100130","http://dx.doi.org/10.1002/masy.202100130")</f>
        <v>http://dx.doi.org/10.1002/masy.202100130</v>
      </c>
    </row>
    <row r="619" spans="1:9" ht="90" x14ac:dyDescent="0.25">
      <c r="A619" s="2">
        <v>616</v>
      </c>
      <c r="B619" s="3" t="s">
        <v>1935</v>
      </c>
      <c r="C619" s="3" t="s">
        <v>1936</v>
      </c>
      <c r="D619" s="3" t="s">
        <v>1937</v>
      </c>
      <c r="E619" s="2">
        <v>2020</v>
      </c>
      <c r="F619" s="3" t="s">
        <v>1938</v>
      </c>
      <c r="G619" s="2" t="s">
        <v>12</v>
      </c>
      <c r="H619" s="3" t="s">
        <v>799</v>
      </c>
      <c r="I619" s="10" t="str">
        <f>HYPERLINK("http://dx.doi.org/10.3390/molecules25071622","http://dx.doi.org/10.3390/molecules25071622")</f>
        <v>http://dx.doi.org/10.3390/molecules25071622</v>
      </c>
    </row>
    <row r="620" spans="1:9" ht="120" x14ac:dyDescent="0.25">
      <c r="A620" s="2">
        <v>617</v>
      </c>
      <c r="B620" s="3" t="s">
        <v>1939</v>
      </c>
      <c r="C620" s="3" t="s">
        <v>817</v>
      </c>
      <c r="D620" s="3" t="s">
        <v>1940</v>
      </c>
      <c r="E620" s="2">
        <v>2019</v>
      </c>
      <c r="F620" s="3" t="s">
        <v>791</v>
      </c>
      <c r="G620" s="2" t="s">
        <v>12</v>
      </c>
      <c r="H620" s="3" t="s">
        <v>67</v>
      </c>
      <c r="I620" s="10" t="str">
        <f>HYPERLINK("http://dx.doi.org/10.1002/jhet.3438","http://dx.doi.org/10.1002/jhet.3438")</f>
        <v>http://dx.doi.org/10.1002/jhet.3438</v>
      </c>
    </row>
    <row r="621" spans="1:9" ht="60" x14ac:dyDescent="0.25">
      <c r="A621" s="2">
        <v>618</v>
      </c>
      <c r="B621" s="3" t="s">
        <v>1941</v>
      </c>
      <c r="C621" s="3" t="s">
        <v>1942</v>
      </c>
      <c r="D621" s="3" t="s">
        <v>1943</v>
      </c>
      <c r="E621" s="2">
        <v>2018</v>
      </c>
      <c r="F621" s="3" t="s">
        <v>1944</v>
      </c>
      <c r="G621" s="2" t="s">
        <v>12</v>
      </c>
      <c r="H621" s="3" t="s">
        <v>1945</v>
      </c>
      <c r="I621" s="10" t="str">
        <f>HYPERLINK("http://dx.doi.org/10.1145/3297121.3297125","http://dx.doi.org/10.1145/3297121.3297125")</f>
        <v>http://dx.doi.org/10.1145/3297121.3297125</v>
      </c>
    </row>
    <row r="622" spans="1:9" ht="105" x14ac:dyDescent="0.25">
      <c r="A622" s="2">
        <v>619</v>
      </c>
      <c r="B622" s="3" t="s">
        <v>1946</v>
      </c>
      <c r="C622" s="3" t="s">
        <v>1149</v>
      </c>
      <c r="D622" s="3" t="s">
        <v>1947</v>
      </c>
      <c r="E622" s="2">
        <v>2020</v>
      </c>
      <c r="F622" s="3" t="s">
        <v>770</v>
      </c>
      <c r="G622" s="2" t="s">
        <v>12</v>
      </c>
      <c r="H622" s="3" t="s">
        <v>28</v>
      </c>
      <c r="I622" s="10" t="str">
        <f>HYPERLINK("http://dx.doi.org/10.1021/acsomega.0c03332","http://dx.doi.org/10.1021/acsomega.0c03332")</f>
        <v>http://dx.doi.org/10.1021/acsomega.0c03332</v>
      </c>
    </row>
    <row r="623" spans="1:9" ht="75" x14ac:dyDescent="0.25">
      <c r="A623" s="2">
        <v>620</v>
      </c>
      <c r="B623" s="3" t="s">
        <v>1948</v>
      </c>
      <c r="C623" s="3" t="s">
        <v>1949</v>
      </c>
      <c r="D623" s="3" t="s">
        <v>1950</v>
      </c>
      <c r="E623" s="2">
        <v>2020</v>
      </c>
      <c r="F623" s="3" t="s">
        <v>1951</v>
      </c>
      <c r="G623" s="2" t="s">
        <v>12</v>
      </c>
      <c r="H623" s="3" t="s">
        <v>1011</v>
      </c>
      <c r="I623" s="10" t="str">
        <f>HYPERLINK("http://dx.doi.org/10.1016/j.ijleo.2020.164462","http://dx.doi.org/10.1016/j.ijleo.2020.164462")</f>
        <v>http://dx.doi.org/10.1016/j.ijleo.2020.164462</v>
      </c>
    </row>
    <row r="624" spans="1:9" ht="135" x14ac:dyDescent="0.25">
      <c r="A624" s="2">
        <v>621</v>
      </c>
      <c r="B624" s="3" t="s">
        <v>1952</v>
      </c>
      <c r="C624" s="3" t="s">
        <v>1400</v>
      </c>
      <c r="D624" s="3" t="s">
        <v>1953</v>
      </c>
      <c r="E624" s="2">
        <v>2023</v>
      </c>
      <c r="F624" s="3" t="s">
        <v>1109</v>
      </c>
      <c r="G624" s="2" t="s">
        <v>12</v>
      </c>
      <c r="H624" s="3" t="s">
        <v>1823</v>
      </c>
      <c r="I624" s="10" t="str">
        <f>HYPERLINK("http://dx.doi.org/10.18388/abp.2020_6188","http://dx.doi.org/10.18388/abp.2020_6188")</f>
        <v>http://dx.doi.org/10.18388/abp.2020_6188</v>
      </c>
    </row>
    <row r="625" spans="1:9" ht="90" x14ac:dyDescent="0.25">
      <c r="A625" s="2">
        <v>622</v>
      </c>
      <c r="B625" s="3" t="s">
        <v>1954</v>
      </c>
      <c r="C625" s="3" t="s">
        <v>1165</v>
      </c>
      <c r="D625" s="3" t="s">
        <v>1955</v>
      </c>
      <c r="E625" s="2">
        <v>2021</v>
      </c>
      <c r="F625" s="3" t="s">
        <v>1956</v>
      </c>
      <c r="G625" s="2" t="s">
        <v>12</v>
      </c>
      <c r="H625" s="3" t="s">
        <v>439</v>
      </c>
      <c r="I625" s="10" t="str">
        <f>HYPERLINK("http://dx.doi.org/10.1007/s00339-020-04199-6","http://dx.doi.org/10.1007/s00339-020-04199-6")</f>
        <v>http://dx.doi.org/10.1007/s00339-020-04199-6</v>
      </c>
    </row>
    <row r="626" spans="1:9" ht="90" x14ac:dyDescent="0.25">
      <c r="A626" s="2">
        <v>623</v>
      </c>
      <c r="B626" s="3" t="s">
        <v>1957</v>
      </c>
      <c r="C626" s="3" t="s">
        <v>225</v>
      </c>
      <c r="D626" s="3" t="s">
        <v>1958</v>
      </c>
      <c r="E626" s="2">
        <v>2019</v>
      </c>
      <c r="F626" s="3" t="s">
        <v>1959</v>
      </c>
      <c r="G626" s="2" t="s">
        <v>12</v>
      </c>
      <c r="H626" s="3" t="s">
        <v>91</v>
      </c>
      <c r="I626" s="10" t="str">
        <f>HYPERLINK("http://dx.doi.org/10.1080/10584587.2019.1674825","http://dx.doi.org/10.1080/10584587.2019.1674825")</f>
        <v>http://dx.doi.org/10.1080/10584587.2019.1674825</v>
      </c>
    </row>
    <row r="627" spans="1:9" ht="90" x14ac:dyDescent="0.25">
      <c r="A627" s="2">
        <v>624</v>
      </c>
      <c r="B627" s="3" t="s">
        <v>1960</v>
      </c>
      <c r="C627" s="3" t="s">
        <v>1684</v>
      </c>
      <c r="D627" s="3" t="s">
        <v>1961</v>
      </c>
      <c r="E627" s="2">
        <v>2018</v>
      </c>
      <c r="F627" s="3" t="s">
        <v>403</v>
      </c>
      <c r="G627" s="2" t="s">
        <v>12</v>
      </c>
      <c r="H627" s="3" t="s">
        <v>48</v>
      </c>
      <c r="I627" s="10" t="str">
        <f>HYPERLINK("http://dx.doi.org/10.1140/epjd/e2018-70365-4","http://dx.doi.org/10.1140/epjd/e2018-70365-4")</f>
        <v>http://dx.doi.org/10.1140/epjd/e2018-70365-4</v>
      </c>
    </row>
    <row r="628" spans="1:9" ht="75" x14ac:dyDescent="0.25">
      <c r="A628" s="2">
        <v>625</v>
      </c>
      <c r="B628" s="3" t="s">
        <v>1962</v>
      </c>
      <c r="C628" s="3" t="s">
        <v>1367</v>
      </c>
      <c r="D628" s="3" t="s">
        <v>1963</v>
      </c>
      <c r="E628" s="2">
        <v>2018</v>
      </c>
      <c r="F628" s="3" t="s">
        <v>1964</v>
      </c>
      <c r="G628" s="2" t="s">
        <v>12</v>
      </c>
      <c r="H628" s="3" t="s">
        <v>747</v>
      </c>
      <c r="I628" s="10" t="str">
        <f>HYPERLINK("http://dx.doi.org/10.1016/j.foodcont.2018.02.012","http://dx.doi.org/10.1016/j.foodcont.2018.02.012")</f>
        <v>http://dx.doi.org/10.1016/j.foodcont.2018.02.012</v>
      </c>
    </row>
    <row r="629" spans="1:9" ht="45" x14ac:dyDescent="0.25">
      <c r="A629" s="2">
        <v>626</v>
      </c>
      <c r="B629" s="3" t="s">
        <v>1965</v>
      </c>
      <c r="C629" s="3" t="s">
        <v>1695</v>
      </c>
      <c r="D629" s="3" t="s">
        <v>1966</v>
      </c>
      <c r="E629" s="2">
        <v>2023</v>
      </c>
      <c r="F629" s="3" t="s">
        <v>605</v>
      </c>
      <c r="G629" s="2" t="s">
        <v>12</v>
      </c>
      <c r="H629" s="3" t="s">
        <v>1967</v>
      </c>
      <c r="I629" s="10" t="str">
        <f>HYPERLINK("http://dx.doi.org/10.32604/cmes.2022.023694","http://dx.doi.org/10.32604/cmes.2022.023694")</f>
        <v>http://dx.doi.org/10.32604/cmes.2022.023694</v>
      </c>
    </row>
    <row r="630" spans="1:9" ht="75" x14ac:dyDescent="0.25">
      <c r="A630" s="2">
        <v>627</v>
      </c>
      <c r="B630" s="3" t="s">
        <v>1968</v>
      </c>
      <c r="C630" s="3" t="s">
        <v>1969</v>
      </c>
      <c r="D630" s="3" t="s">
        <v>1970</v>
      </c>
      <c r="E630" s="2">
        <v>2023</v>
      </c>
      <c r="F630" s="3" t="s">
        <v>615</v>
      </c>
      <c r="G630" s="2" t="s">
        <v>12</v>
      </c>
      <c r="H630" s="3" t="s">
        <v>799</v>
      </c>
      <c r="I630" s="10" t="str">
        <f>HYPERLINK("http://dx.doi.org/10.3390/pr11010212","http://dx.doi.org/10.3390/pr11010212")</f>
        <v>http://dx.doi.org/10.3390/pr11010212</v>
      </c>
    </row>
    <row r="631" spans="1:9" ht="75" x14ac:dyDescent="0.25">
      <c r="A631" s="2">
        <v>628</v>
      </c>
      <c r="B631" s="3" t="s">
        <v>1971</v>
      </c>
      <c r="C631" s="3" t="s">
        <v>1972</v>
      </c>
      <c r="D631" s="3" t="s">
        <v>1973</v>
      </c>
      <c r="E631" s="2">
        <v>2021</v>
      </c>
      <c r="F631" s="3" t="s">
        <v>1974</v>
      </c>
      <c r="G631" s="2" t="s">
        <v>12</v>
      </c>
      <c r="H631" s="3" t="s">
        <v>698</v>
      </c>
      <c r="I631" s="10" t="str">
        <f>HYPERLINK("http://dx.doi.org/10.1134/S0036024421140120","http://dx.doi.org/10.1134/S0036024421140120")</f>
        <v>http://dx.doi.org/10.1134/S0036024421140120</v>
      </c>
    </row>
    <row r="632" spans="1:9" ht="90" x14ac:dyDescent="0.25">
      <c r="A632" s="2">
        <v>629</v>
      </c>
      <c r="B632" s="3" t="s">
        <v>1975</v>
      </c>
      <c r="C632" s="3" t="s">
        <v>1969</v>
      </c>
      <c r="D632" s="3" t="s">
        <v>1976</v>
      </c>
      <c r="E632" s="2">
        <v>2020</v>
      </c>
      <c r="F632" s="3" t="s">
        <v>1422</v>
      </c>
      <c r="G632" s="2" t="s">
        <v>12</v>
      </c>
      <c r="H632" s="3" t="s">
        <v>277</v>
      </c>
      <c r="I632" s="10" t="str">
        <f>HYPERLINK("http://dx.doi.org/10.1016/j.physb.2019.411944","http://dx.doi.org/10.1016/j.physb.2019.411944")</f>
        <v>http://dx.doi.org/10.1016/j.physb.2019.411944</v>
      </c>
    </row>
    <row r="633" spans="1:9" ht="90" x14ac:dyDescent="0.25">
      <c r="A633" s="2">
        <v>630</v>
      </c>
      <c r="B633" s="3" t="s">
        <v>1977</v>
      </c>
      <c r="C633" s="3" t="s">
        <v>56</v>
      </c>
      <c r="D633" s="3" t="s">
        <v>1978</v>
      </c>
      <c r="E633" s="2">
        <v>2019</v>
      </c>
      <c r="F633" s="3" t="s">
        <v>1979</v>
      </c>
      <c r="G633" s="2" t="s">
        <v>12</v>
      </c>
      <c r="H633" s="3" t="s">
        <v>583</v>
      </c>
      <c r="I633" s="10" t="str">
        <f>HYPERLINK("http://dx.doi.org/10.1155/2019/4807913","http://dx.doi.org/10.1155/2019/4807913")</f>
        <v>http://dx.doi.org/10.1155/2019/4807913</v>
      </c>
    </row>
    <row r="634" spans="1:9" ht="90" x14ac:dyDescent="0.25">
      <c r="A634" s="2">
        <v>631</v>
      </c>
      <c r="B634" s="3" t="s">
        <v>1980</v>
      </c>
      <c r="C634" s="3" t="s">
        <v>60</v>
      </c>
      <c r="D634" s="3" t="s">
        <v>1981</v>
      </c>
      <c r="E634" s="2">
        <v>2021</v>
      </c>
      <c r="F634" s="3" t="s">
        <v>941</v>
      </c>
      <c r="G634" s="2" t="s">
        <v>12</v>
      </c>
      <c r="H634" s="3" t="s">
        <v>48</v>
      </c>
      <c r="I634" s="10" t="str">
        <f>HYPERLINK("http://dx.doi.org/10.1007/s10854-020-05197-3","http://dx.doi.org/10.1007/s10854-020-05197-3")</f>
        <v>http://dx.doi.org/10.1007/s10854-020-05197-3</v>
      </c>
    </row>
    <row r="635" spans="1:9" ht="75" x14ac:dyDescent="0.25">
      <c r="A635" s="2">
        <v>632</v>
      </c>
      <c r="B635" s="3" t="s">
        <v>1982</v>
      </c>
      <c r="C635" s="3" t="s">
        <v>1983</v>
      </c>
      <c r="D635" s="3" t="s">
        <v>1984</v>
      </c>
      <c r="E635" s="2">
        <v>2020</v>
      </c>
      <c r="F635" s="3" t="s">
        <v>1985</v>
      </c>
      <c r="G635" s="2" t="s">
        <v>12</v>
      </c>
      <c r="H635" s="3" t="s">
        <v>48</v>
      </c>
      <c r="I635" s="10" t="str">
        <f>HYPERLINK("http://dx.doi.org/10.1186/s13662-020-02775-x","http://dx.doi.org/10.1186/s13662-020-02775-x")</f>
        <v>http://dx.doi.org/10.1186/s13662-020-02775-x</v>
      </c>
    </row>
    <row r="636" spans="1:9" ht="75" x14ac:dyDescent="0.25">
      <c r="A636" s="2">
        <v>633</v>
      </c>
      <c r="B636" s="3" t="s">
        <v>1986</v>
      </c>
      <c r="C636" s="3" t="s">
        <v>317</v>
      </c>
      <c r="D636" s="3" t="s">
        <v>1987</v>
      </c>
      <c r="E636" s="2">
        <v>2020</v>
      </c>
      <c r="F636" s="3" t="s">
        <v>338</v>
      </c>
      <c r="G636" s="2" t="s">
        <v>12</v>
      </c>
      <c r="H636" s="3" t="s">
        <v>747</v>
      </c>
      <c r="I636" s="10" t="str">
        <f>HYPERLINK("http://dx.doi.org/10.1016/j.ceramint.2020.02.091","http://dx.doi.org/10.1016/j.ceramint.2020.02.091")</f>
        <v>http://dx.doi.org/10.1016/j.ceramint.2020.02.091</v>
      </c>
    </row>
    <row r="637" spans="1:9" ht="45" x14ac:dyDescent="0.25">
      <c r="A637" s="2">
        <v>634</v>
      </c>
      <c r="B637" s="3" t="s">
        <v>1988</v>
      </c>
      <c r="C637" s="3" t="s">
        <v>192</v>
      </c>
      <c r="D637" s="3" t="s">
        <v>1989</v>
      </c>
      <c r="E637" s="2">
        <v>2020</v>
      </c>
      <c r="F637" s="3" t="s">
        <v>1990</v>
      </c>
      <c r="G637" s="2" t="s">
        <v>12</v>
      </c>
      <c r="H637" s="3" t="s">
        <v>91</v>
      </c>
      <c r="I637" s="10" t="str">
        <f>HYPERLINK("http://dx.doi.org/10.1080/10584587.2019.1675004","http://dx.doi.org/10.1080/10584587.2019.1675004")</f>
        <v>http://dx.doi.org/10.1080/10584587.2019.1675004</v>
      </c>
    </row>
    <row r="638" spans="1:9" ht="120" x14ac:dyDescent="0.25">
      <c r="A638" s="2">
        <v>635</v>
      </c>
      <c r="B638" s="3" t="s">
        <v>1991</v>
      </c>
      <c r="C638" s="3" t="s">
        <v>1254</v>
      </c>
      <c r="D638" s="3" t="s">
        <v>1992</v>
      </c>
      <c r="E638" s="2">
        <v>2019</v>
      </c>
      <c r="F638" s="3" t="s">
        <v>394</v>
      </c>
      <c r="G638" s="2" t="s">
        <v>12</v>
      </c>
      <c r="H638" s="3" t="s">
        <v>1993</v>
      </c>
      <c r="I638" s="10" t="str">
        <f>HYPERLINK("http://dx.doi.org/10.1007/s13226-019-0365-0","http://dx.doi.org/10.1007/s13226-019-0365-0")</f>
        <v>http://dx.doi.org/10.1007/s13226-019-0365-0</v>
      </c>
    </row>
    <row r="639" spans="1:9" ht="75" x14ac:dyDescent="0.25">
      <c r="A639" s="2">
        <v>636</v>
      </c>
      <c r="B639" s="3" t="s">
        <v>1994</v>
      </c>
      <c r="C639" s="3" t="s">
        <v>1490</v>
      </c>
      <c r="D639" s="3" t="s">
        <v>1995</v>
      </c>
      <c r="E639" s="2">
        <v>2019</v>
      </c>
      <c r="F639" s="3" t="s">
        <v>941</v>
      </c>
      <c r="G639" s="2" t="s">
        <v>12</v>
      </c>
      <c r="H639" s="3" t="s">
        <v>91</v>
      </c>
      <c r="I639" s="10" t="str">
        <f>HYPERLINK("http://dx.doi.org/10.1080/10584587.2019.1674829","http://dx.doi.org/10.1080/10584587.2019.1674829")</f>
        <v>http://dx.doi.org/10.1080/10584587.2019.1674829</v>
      </c>
    </row>
    <row r="640" spans="1:9" ht="120" x14ac:dyDescent="0.25">
      <c r="A640" s="2">
        <v>637</v>
      </c>
      <c r="B640" s="3" t="s">
        <v>1996</v>
      </c>
      <c r="C640" s="3" t="s">
        <v>1997</v>
      </c>
      <c r="D640" s="3" t="s">
        <v>1998</v>
      </c>
      <c r="E640" s="2">
        <v>2019</v>
      </c>
      <c r="F640" s="3" t="s">
        <v>582</v>
      </c>
      <c r="G640" s="2" t="s">
        <v>12</v>
      </c>
      <c r="H640" s="3" t="s">
        <v>84</v>
      </c>
      <c r="I640" s="10" t="str">
        <f>HYPERLINK("http://dx.doi.org/10.1142/S0218625X18501640","http://dx.doi.org/10.1142/S0218625X18501640")</f>
        <v>http://dx.doi.org/10.1142/S0218625X18501640</v>
      </c>
    </row>
    <row r="641" spans="1:9" ht="105" x14ac:dyDescent="0.25">
      <c r="A641" s="2">
        <v>638</v>
      </c>
      <c r="B641" s="3" t="s">
        <v>1999</v>
      </c>
      <c r="C641" s="3" t="s">
        <v>296</v>
      </c>
      <c r="D641" s="3" t="s">
        <v>2000</v>
      </c>
      <c r="E641" s="2">
        <v>2021</v>
      </c>
      <c r="F641" s="3" t="s">
        <v>638</v>
      </c>
      <c r="G641" s="2" t="s">
        <v>12</v>
      </c>
      <c r="H641" s="3" t="s">
        <v>277</v>
      </c>
      <c r="I641" s="10" t="str">
        <f>HYPERLINK("http://dx.doi.org/10.1016/j.matpr.2021.02.327","http://dx.doi.org/10.1016/j.matpr.2021.02.327")</f>
        <v>http://dx.doi.org/10.1016/j.matpr.2021.02.327</v>
      </c>
    </row>
    <row r="642" spans="1:9" ht="60" x14ac:dyDescent="0.25">
      <c r="A642" s="2">
        <v>639</v>
      </c>
      <c r="B642" s="3" t="s">
        <v>2001</v>
      </c>
      <c r="C642" s="3" t="s">
        <v>1165</v>
      </c>
      <c r="D642" s="3" t="s">
        <v>2002</v>
      </c>
      <c r="E642" s="2">
        <v>2020</v>
      </c>
      <c r="F642" s="3" t="s">
        <v>559</v>
      </c>
      <c r="G642" s="2" t="s">
        <v>12</v>
      </c>
      <c r="H642" s="3" t="s">
        <v>698</v>
      </c>
      <c r="I642" s="10" t="str">
        <f>HYPERLINK("http://dx.doi.org/10.1134/S0036023620140053","http://dx.doi.org/10.1134/S0036023620140053")</f>
        <v>http://dx.doi.org/10.1134/S0036023620140053</v>
      </c>
    </row>
    <row r="643" spans="1:9" ht="75" x14ac:dyDescent="0.25">
      <c r="A643" s="2">
        <v>640</v>
      </c>
      <c r="B643" s="3" t="s">
        <v>2003</v>
      </c>
      <c r="C643" s="3" t="s">
        <v>2004</v>
      </c>
      <c r="D643" s="3" t="s">
        <v>2005</v>
      </c>
      <c r="E643" s="2">
        <v>2020</v>
      </c>
      <c r="F643" s="3" t="s">
        <v>2006</v>
      </c>
      <c r="G643" s="2" t="s">
        <v>12</v>
      </c>
      <c r="H643" s="3" t="s">
        <v>288</v>
      </c>
      <c r="I643" s="10" t="str">
        <f>HYPERLINK("http://dx.doi.org/10.1080/23311886.2020.1818936","http://dx.doi.org/10.1080/23311886.2020.1818936")</f>
        <v>http://dx.doi.org/10.1080/23311886.2020.1818936</v>
      </c>
    </row>
    <row r="644" spans="1:9" ht="105" x14ac:dyDescent="0.25">
      <c r="A644" s="2">
        <v>641</v>
      </c>
      <c r="B644" s="3" t="s">
        <v>2007</v>
      </c>
      <c r="C644" s="3" t="s">
        <v>1969</v>
      </c>
      <c r="D644" s="3" t="s">
        <v>2008</v>
      </c>
      <c r="E644" s="2">
        <v>2018</v>
      </c>
      <c r="F644" s="3" t="s">
        <v>1054</v>
      </c>
      <c r="G644" s="2" t="s">
        <v>12</v>
      </c>
      <c r="H644" s="3" t="s">
        <v>799</v>
      </c>
      <c r="I644" s="10" t="str">
        <f>HYPERLINK("http://dx.doi.org/10.3390/molecules23020440","http://dx.doi.org/10.3390/molecules23020440")</f>
        <v>http://dx.doi.org/10.3390/molecules23020440</v>
      </c>
    </row>
    <row r="645" spans="1:9" ht="45" x14ac:dyDescent="0.25">
      <c r="A645" s="2">
        <v>642</v>
      </c>
      <c r="B645" s="3" t="s">
        <v>2009</v>
      </c>
      <c r="C645" s="3" t="s">
        <v>2010</v>
      </c>
      <c r="D645" s="3" t="s">
        <v>2011</v>
      </c>
      <c r="E645" s="2">
        <v>2018</v>
      </c>
      <c r="F645" s="3" t="s">
        <v>1900</v>
      </c>
      <c r="G645" s="2" t="s">
        <v>12</v>
      </c>
      <c r="H645" s="3" t="s">
        <v>525</v>
      </c>
      <c r="I645" s="10" t="str">
        <f>HYPERLINK("http://dx.doi.org/10.1063/1.5032573","http://dx.doi.org/10.1063/1.5032573")</f>
        <v>http://dx.doi.org/10.1063/1.5032573</v>
      </c>
    </row>
    <row r="646" spans="1:9" ht="60" x14ac:dyDescent="0.25">
      <c r="A646" s="2">
        <v>643</v>
      </c>
      <c r="B646" s="3" t="s">
        <v>1971</v>
      </c>
      <c r="C646" s="3" t="s">
        <v>855</v>
      </c>
      <c r="D646" s="3" t="s">
        <v>2012</v>
      </c>
      <c r="E646" s="2">
        <v>2022</v>
      </c>
      <c r="F646" s="3" t="s">
        <v>512</v>
      </c>
      <c r="G646" s="2" t="s">
        <v>12</v>
      </c>
      <c r="H646" s="3" t="s">
        <v>698</v>
      </c>
      <c r="I646" s="10" t="str">
        <f>HYPERLINK("http://dx.doi.org/10.1134/S003602442210017X","http://dx.doi.org/10.1134/S003602442210017X")</f>
        <v>http://dx.doi.org/10.1134/S003602442210017X</v>
      </c>
    </row>
    <row r="647" spans="1:9" ht="75" x14ac:dyDescent="0.25">
      <c r="A647" s="2">
        <v>644</v>
      </c>
      <c r="B647" s="3" t="s">
        <v>2013</v>
      </c>
      <c r="C647" s="3" t="s">
        <v>2014</v>
      </c>
      <c r="D647" s="3" t="s">
        <v>2015</v>
      </c>
      <c r="E647" s="2">
        <v>2018</v>
      </c>
      <c r="F647" s="3" t="s">
        <v>2016</v>
      </c>
      <c r="G647" s="2" t="s">
        <v>12</v>
      </c>
      <c r="H647" s="3" t="s">
        <v>2017</v>
      </c>
      <c r="I647" s="10" t="str">
        <f>HYPERLINK("http://dx.doi.org/10.1166/jnn.2018.15013","http://dx.doi.org/10.1166/jnn.2018.15013")</f>
        <v>http://dx.doi.org/10.1166/jnn.2018.15013</v>
      </c>
    </row>
    <row r="648" spans="1:9" ht="75" x14ac:dyDescent="0.25">
      <c r="A648" s="2">
        <v>645</v>
      </c>
      <c r="B648" s="3" t="s">
        <v>2018</v>
      </c>
      <c r="C648" s="3" t="s">
        <v>724</v>
      </c>
      <c r="D648" s="3" t="s">
        <v>2019</v>
      </c>
      <c r="E648" s="2">
        <v>2018</v>
      </c>
      <c r="F648" s="3" t="s">
        <v>1444</v>
      </c>
      <c r="G648" s="2" t="s">
        <v>12</v>
      </c>
      <c r="H648" s="3" t="s">
        <v>2020</v>
      </c>
      <c r="I648" s="10" t="str">
        <f>HYPERLINK("http://dx.doi.org/10.4067/s0717-97072018000103841","http://dx.doi.org/10.4067/s0717-97072018000103841")</f>
        <v>http://dx.doi.org/10.4067/s0717-97072018000103841</v>
      </c>
    </row>
    <row r="649" spans="1:9" ht="75" x14ac:dyDescent="0.25">
      <c r="A649" s="2">
        <v>646</v>
      </c>
      <c r="B649" s="3" t="s">
        <v>2021</v>
      </c>
      <c r="C649" s="3" t="s">
        <v>2022</v>
      </c>
      <c r="D649" s="3" t="s">
        <v>2023</v>
      </c>
      <c r="E649" s="2">
        <v>2022</v>
      </c>
      <c r="F649" s="3" t="s">
        <v>941</v>
      </c>
      <c r="G649" s="2" t="s">
        <v>12</v>
      </c>
      <c r="H649" s="3" t="s">
        <v>48</v>
      </c>
      <c r="I649" s="10" t="str">
        <f>HYPERLINK("http://dx.doi.org/10.1007/s10854-022-08729-1","http://dx.doi.org/10.1007/s10854-022-08729-1")</f>
        <v>http://dx.doi.org/10.1007/s10854-022-08729-1</v>
      </c>
    </row>
    <row r="650" spans="1:9" ht="75" x14ac:dyDescent="0.25">
      <c r="A650" s="2">
        <v>647</v>
      </c>
      <c r="B650" s="3" t="s">
        <v>2024</v>
      </c>
      <c r="C650" s="3" t="s">
        <v>1165</v>
      </c>
      <c r="D650" s="3" t="s">
        <v>2025</v>
      </c>
      <c r="E650" s="2">
        <v>2020</v>
      </c>
      <c r="F650" s="3" t="s">
        <v>2026</v>
      </c>
      <c r="G650" s="2" t="s">
        <v>12</v>
      </c>
      <c r="H650" s="3" t="s">
        <v>43</v>
      </c>
      <c r="I650" s="10" t="str">
        <f>HYPERLINK("http://dx.doi.org/10.3934/math.2020240","http://dx.doi.org/10.3934/math.2020240")</f>
        <v>http://dx.doi.org/10.3934/math.2020240</v>
      </c>
    </row>
    <row r="651" spans="1:9" ht="60" x14ac:dyDescent="0.25">
      <c r="A651" s="2">
        <v>648</v>
      </c>
      <c r="B651" s="3" t="s">
        <v>2027</v>
      </c>
      <c r="C651" s="3" t="s">
        <v>2028</v>
      </c>
      <c r="D651" s="3" t="s">
        <v>2029</v>
      </c>
      <c r="E651" s="2">
        <v>2019</v>
      </c>
      <c r="F651" s="3" t="s">
        <v>313</v>
      </c>
      <c r="G651" s="2" t="s">
        <v>12</v>
      </c>
      <c r="H651" s="3" t="s">
        <v>525</v>
      </c>
      <c r="I651" s="10" t="str">
        <f>HYPERLINK("http://dx.doi.org/10.1063/1.5113362","http://dx.doi.org/10.1063/1.5113362")</f>
        <v>http://dx.doi.org/10.1063/1.5113362</v>
      </c>
    </row>
    <row r="652" spans="1:9" ht="90" x14ac:dyDescent="0.25">
      <c r="A652" s="2">
        <v>649</v>
      </c>
      <c r="B652" s="3" t="s">
        <v>2030</v>
      </c>
      <c r="C652" s="3" t="s">
        <v>2031</v>
      </c>
      <c r="D652" s="3" t="s">
        <v>2032</v>
      </c>
      <c r="E652" s="2">
        <v>2018</v>
      </c>
      <c r="F652" s="3" t="s">
        <v>1990</v>
      </c>
      <c r="G652" s="2" t="s">
        <v>12</v>
      </c>
      <c r="H652" s="3" t="s">
        <v>91</v>
      </c>
      <c r="I652" s="10" t="str">
        <f>HYPERLINK("http://dx.doi.org/10.1080/00150193.2018.1528955","http://dx.doi.org/10.1080/00150193.2018.1528955")</f>
        <v>http://dx.doi.org/10.1080/00150193.2018.1528955</v>
      </c>
    </row>
    <row r="653" spans="1:9" ht="120" x14ac:dyDescent="0.25">
      <c r="A653" s="2">
        <v>650</v>
      </c>
      <c r="B653" s="3" t="s">
        <v>2033</v>
      </c>
      <c r="C653" s="3" t="s">
        <v>437</v>
      </c>
      <c r="D653" s="3" t="s">
        <v>2034</v>
      </c>
      <c r="E653" s="2">
        <v>2020</v>
      </c>
      <c r="F653" s="3" t="s">
        <v>2035</v>
      </c>
      <c r="G653" s="2" t="s">
        <v>12</v>
      </c>
      <c r="H653" s="3" t="s">
        <v>28</v>
      </c>
      <c r="I653" s="10" t="str">
        <f>HYPERLINK("http://dx.doi.org/10.1021/acsomega.0c03575","http://dx.doi.org/10.1021/acsomega.0c03575")</f>
        <v>http://dx.doi.org/10.1021/acsomega.0c03575</v>
      </c>
    </row>
    <row r="654" spans="1:9" ht="75" x14ac:dyDescent="0.25">
      <c r="A654" s="2">
        <v>651</v>
      </c>
      <c r="B654" s="3" t="s">
        <v>2036</v>
      </c>
      <c r="C654" s="3" t="s">
        <v>2037</v>
      </c>
      <c r="D654" s="3" t="s">
        <v>2038</v>
      </c>
      <c r="E654" s="2">
        <v>2020</v>
      </c>
      <c r="F654" s="3" t="s">
        <v>2039</v>
      </c>
      <c r="G654" s="2" t="s">
        <v>12</v>
      </c>
      <c r="H654" s="3" t="s">
        <v>464</v>
      </c>
      <c r="I654" s="10" t="str">
        <f>HYPERLINK("http://dx.doi.org/10.2478/pjmpe-2020-0011","http://dx.doi.org/10.2478/pjmpe-2020-0011")</f>
        <v>http://dx.doi.org/10.2478/pjmpe-2020-0011</v>
      </c>
    </row>
    <row r="655" spans="1:9" ht="45" x14ac:dyDescent="0.25">
      <c r="A655" s="2">
        <v>652</v>
      </c>
      <c r="B655" s="3" t="s">
        <v>2040</v>
      </c>
      <c r="C655" s="3" t="s">
        <v>655</v>
      </c>
      <c r="D655" s="3" t="s">
        <v>2041</v>
      </c>
      <c r="E655" s="2">
        <v>2020</v>
      </c>
      <c r="F655" s="3" t="s">
        <v>1900</v>
      </c>
      <c r="G655" s="2" t="s">
        <v>12</v>
      </c>
      <c r="H655" s="3" t="s">
        <v>525</v>
      </c>
      <c r="I655" s="10" t="str">
        <f>HYPERLINK("http://dx.doi.org/10.1063/5.0001553","http://dx.doi.org/10.1063/5.0001553")</f>
        <v>http://dx.doi.org/10.1063/5.0001553</v>
      </c>
    </row>
    <row r="656" spans="1:9" ht="105" x14ac:dyDescent="0.25">
      <c r="A656" s="2">
        <v>653</v>
      </c>
      <c r="B656" s="3" t="s">
        <v>2042</v>
      </c>
      <c r="C656" s="3" t="s">
        <v>668</v>
      </c>
      <c r="D656" s="3" t="s">
        <v>2043</v>
      </c>
      <c r="E656" s="2">
        <v>2019</v>
      </c>
      <c r="F656" s="3" t="s">
        <v>1070</v>
      </c>
      <c r="G656" s="2" t="s">
        <v>12</v>
      </c>
      <c r="H656" s="3" t="s">
        <v>1399</v>
      </c>
      <c r="I656" s="10" t="str">
        <f>HYPERLINK("http://dx.doi.org/10.1556/1006.2019.32.1.11","http://dx.doi.org/10.1556/1006.2019.32.1.11")</f>
        <v>http://dx.doi.org/10.1556/1006.2019.32.1.11</v>
      </c>
    </row>
    <row r="657" spans="1:9" ht="75" x14ac:dyDescent="0.25">
      <c r="A657" s="2">
        <v>654</v>
      </c>
      <c r="B657" s="3" t="s">
        <v>2044</v>
      </c>
      <c r="C657" s="3" t="s">
        <v>2045</v>
      </c>
      <c r="D657" s="3" t="s">
        <v>2046</v>
      </c>
      <c r="E657" s="2">
        <v>2018</v>
      </c>
      <c r="F657" s="3" t="s">
        <v>757</v>
      </c>
      <c r="G657" s="2" t="s">
        <v>12</v>
      </c>
      <c r="H657" s="3" t="s">
        <v>181</v>
      </c>
      <c r="I657" s="10" t="str">
        <f>HYPERLINK("http://dx.doi.org/10.1016/j.radphyschem.2018.01.010","http://dx.doi.org/10.1016/j.radphyschem.2018.01.010")</f>
        <v>http://dx.doi.org/10.1016/j.radphyschem.2018.01.010</v>
      </c>
    </row>
    <row r="658" spans="1:9" ht="75" x14ac:dyDescent="0.25">
      <c r="A658" s="2">
        <v>655</v>
      </c>
      <c r="B658" s="3" t="s">
        <v>2047</v>
      </c>
      <c r="C658" s="3" t="s">
        <v>1490</v>
      </c>
      <c r="D658" s="3" t="s">
        <v>2048</v>
      </c>
      <c r="E658" s="2">
        <v>2018</v>
      </c>
      <c r="F658" s="3" t="s">
        <v>1349</v>
      </c>
      <c r="G658" s="2" t="s">
        <v>12</v>
      </c>
      <c r="H658" s="3" t="s">
        <v>205</v>
      </c>
      <c r="I658" s="10" t="str">
        <f>HYPERLINK("http://dx.doi.org/10.1080/10408347.2017.1422966","http://dx.doi.org/10.1080/10408347.2017.1422966")</f>
        <v>http://dx.doi.org/10.1080/10408347.2017.1422966</v>
      </c>
    </row>
    <row r="659" spans="1:9" ht="90" x14ac:dyDescent="0.25">
      <c r="A659" s="2">
        <v>656</v>
      </c>
      <c r="B659" s="3" t="s">
        <v>2049</v>
      </c>
      <c r="C659" s="3" t="s">
        <v>2050</v>
      </c>
      <c r="D659" s="3" t="s">
        <v>2051</v>
      </c>
      <c r="E659" s="2">
        <v>2024</v>
      </c>
      <c r="F659" s="3" t="s">
        <v>559</v>
      </c>
      <c r="G659" s="2" t="s">
        <v>12</v>
      </c>
      <c r="H659" s="3" t="s">
        <v>48</v>
      </c>
      <c r="I659" s="10" t="str">
        <f>HYPERLINK("http://dx.doi.org/10.1007/s13738-023-02906-7","http://dx.doi.org/10.1007/s13738-023-02906-7")</f>
        <v>http://dx.doi.org/10.1007/s13738-023-02906-7</v>
      </c>
    </row>
    <row r="660" spans="1:9" ht="75" x14ac:dyDescent="0.25">
      <c r="A660" s="2">
        <v>657</v>
      </c>
      <c r="B660" s="3" t="s">
        <v>2052</v>
      </c>
      <c r="C660" s="3" t="s">
        <v>211</v>
      </c>
      <c r="D660" s="3" t="s">
        <v>2053</v>
      </c>
      <c r="E660" s="2">
        <v>2023</v>
      </c>
      <c r="F660" s="3" t="s">
        <v>236</v>
      </c>
      <c r="G660" s="2" t="s">
        <v>12</v>
      </c>
      <c r="H660" s="3" t="s">
        <v>1027</v>
      </c>
      <c r="I660" s="10" t="str">
        <f>HYPERLINK("http://dx.doi.org/10.1007/s12043-023-02546-9","http://dx.doi.org/10.1007/s12043-023-02546-9")</f>
        <v>http://dx.doi.org/10.1007/s12043-023-02546-9</v>
      </c>
    </row>
    <row r="661" spans="1:9" ht="120" x14ac:dyDescent="0.25">
      <c r="A661" s="2">
        <v>658</v>
      </c>
      <c r="B661" s="3" t="s">
        <v>2054</v>
      </c>
      <c r="C661" s="3" t="s">
        <v>2055</v>
      </c>
      <c r="D661" s="3" t="s">
        <v>2056</v>
      </c>
      <c r="E661" s="2">
        <v>2023</v>
      </c>
      <c r="F661" s="3" t="s">
        <v>261</v>
      </c>
      <c r="G661" s="2" t="s">
        <v>12</v>
      </c>
      <c r="H661" s="3" t="s">
        <v>205</v>
      </c>
      <c r="I661" s="10" t="str">
        <f>HYPERLINK("http://dx.doi.org/10.1080/07391102.2022.2071339","http://dx.doi.org/10.1080/07391102.2022.2071339")</f>
        <v>http://dx.doi.org/10.1080/07391102.2022.2071339</v>
      </c>
    </row>
    <row r="662" spans="1:9" ht="120" x14ac:dyDescent="0.25">
      <c r="A662" s="2">
        <v>659</v>
      </c>
      <c r="B662" s="3" t="s">
        <v>2057</v>
      </c>
      <c r="C662" s="3" t="s">
        <v>1084</v>
      </c>
      <c r="D662" s="3" t="s">
        <v>2058</v>
      </c>
      <c r="E662" s="2">
        <v>2021</v>
      </c>
      <c r="F662" s="3" t="s">
        <v>559</v>
      </c>
      <c r="G662" s="2" t="s">
        <v>12</v>
      </c>
      <c r="H662" s="3" t="s">
        <v>1011</v>
      </c>
      <c r="I662" s="10" t="str">
        <f>HYPERLINK("http://dx.doi.org/10.1016/j.ijleo.2020.166168","http://dx.doi.org/10.1016/j.ijleo.2020.166168")</f>
        <v>http://dx.doi.org/10.1016/j.ijleo.2020.166168</v>
      </c>
    </row>
    <row r="663" spans="1:9" ht="45" x14ac:dyDescent="0.25">
      <c r="A663" s="2">
        <v>660</v>
      </c>
      <c r="B663" s="3" t="s">
        <v>2059</v>
      </c>
      <c r="C663" s="3" t="s">
        <v>2060</v>
      </c>
      <c r="D663" s="3" t="s">
        <v>2061</v>
      </c>
      <c r="E663" s="2">
        <v>2020</v>
      </c>
      <c r="F663" s="3" t="s">
        <v>1851</v>
      </c>
      <c r="G663" s="2" t="s">
        <v>12</v>
      </c>
      <c r="H663" s="3" t="s">
        <v>612</v>
      </c>
      <c r="I663" s="10" t="s">
        <v>2062</v>
      </c>
    </row>
    <row r="664" spans="1:9" ht="75" x14ac:dyDescent="0.25">
      <c r="A664" s="2">
        <v>661</v>
      </c>
      <c r="B664" s="3" t="s">
        <v>2063</v>
      </c>
      <c r="C664" s="3" t="s">
        <v>45</v>
      </c>
      <c r="D664" s="3" t="s">
        <v>2064</v>
      </c>
      <c r="E664" s="2">
        <v>2021</v>
      </c>
      <c r="F664" s="3" t="s">
        <v>837</v>
      </c>
      <c r="G664" s="2" t="s">
        <v>12</v>
      </c>
      <c r="H664" s="3" t="s">
        <v>48</v>
      </c>
      <c r="I664" s="10" t="str">
        <f>HYPERLINK("http://dx.doi.org/10.1007/s10854-021-05760-6","http://dx.doi.org/10.1007/s10854-021-05760-6")</f>
        <v>http://dx.doi.org/10.1007/s10854-021-05760-6</v>
      </c>
    </row>
    <row r="665" spans="1:9" ht="75" x14ac:dyDescent="0.25">
      <c r="A665" s="2">
        <v>662</v>
      </c>
      <c r="B665" s="3" t="s">
        <v>2065</v>
      </c>
      <c r="C665" s="3" t="s">
        <v>211</v>
      </c>
      <c r="D665" s="3" t="s">
        <v>2066</v>
      </c>
      <c r="E665" s="2">
        <v>2023</v>
      </c>
      <c r="F665" s="3" t="s">
        <v>261</v>
      </c>
      <c r="G665" s="2" t="s">
        <v>12</v>
      </c>
      <c r="H665" s="3" t="s">
        <v>277</v>
      </c>
      <c r="I665" s="10" t="str">
        <f>HYPERLINK("http://dx.doi.org/10.1016/j.rechem.2023.101083","http://dx.doi.org/10.1016/j.rechem.2023.101083")</f>
        <v>http://dx.doi.org/10.1016/j.rechem.2023.101083</v>
      </c>
    </row>
    <row r="666" spans="1:9" ht="60" x14ac:dyDescent="0.25">
      <c r="A666" s="2">
        <v>663</v>
      </c>
      <c r="B666" s="3" t="s">
        <v>2067</v>
      </c>
      <c r="C666" s="3" t="s">
        <v>317</v>
      </c>
      <c r="D666" s="3" t="s">
        <v>2068</v>
      </c>
      <c r="E666" s="2">
        <v>2023</v>
      </c>
      <c r="F666" s="3" t="s">
        <v>261</v>
      </c>
      <c r="G666" s="2" t="s">
        <v>12</v>
      </c>
      <c r="H666" s="3" t="s">
        <v>911</v>
      </c>
      <c r="I666" s="10" t="str">
        <f>HYPERLINK("http://dx.doi.org/10.47974/JIOS-1274","http://dx.doi.org/10.47974/JIOS-1274")</f>
        <v>http://dx.doi.org/10.47974/JIOS-1274</v>
      </c>
    </row>
    <row r="667" spans="1:9" ht="120" x14ac:dyDescent="0.25">
      <c r="A667" s="2">
        <v>664</v>
      </c>
      <c r="B667" s="3" t="s">
        <v>2069</v>
      </c>
      <c r="C667" s="3" t="s">
        <v>275</v>
      </c>
      <c r="D667" s="3" t="s">
        <v>2070</v>
      </c>
      <c r="E667" s="2">
        <v>2022</v>
      </c>
      <c r="F667" s="3" t="s">
        <v>504</v>
      </c>
      <c r="G667" s="2" t="s">
        <v>12</v>
      </c>
      <c r="H667" s="3" t="s">
        <v>58</v>
      </c>
      <c r="I667" s="10" t="str">
        <f>HYPERLINK("http://dx.doi.org/10.1039/d2nj03901j","http://dx.doi.org/10.1039/d2nj03901j")</f>
        <v>http://dx.doi.org/10.1039/d2nj03901j</v>
      </c>
    </row>
    <row r="668" spans="1:9" ht="75" x14ac:dyDescent="0.25">
      <c r="A668" s="2">
        <v>665</v>
      </c>
      <c r="B668" s="3" t="s">
        <v>1503</v>
      </c>
      <c r="C668" s="3" t="s">
        <v>81</v>
      </c>
      <c r="D668" s="3" t="s">
        <v>2071</v>
      </c>
      <c r="E668" s="2">
        <v>2021</v>
      </c>
      <c r="F668" s="3" t="s">
        <v>2072</v>
      </c>
      <c r="G668" s="2" t="s">
        <v>12</v>
      </c>
      <c r="H668" s="3" t="s">
        <v>23</v>
      </c>
      <c r="I668" s="10" t="str">
        <f>HYPERLINK("http://dx.doi.org/10.1002/masy.202100162","http://dx.doi.org/10.1002/masy.202100162")</f>
        <v>http://dx.doi.org/10.1002/masy.202100162</v>
      </c>
    </row>
    <row r="669" spans="1:9" ht="75" x14ac:dyDescent="0.25">
      <c r="A669" s="2">
        <v>666</v>
      </c>
      <c r="B669" s="3" t="s">
        <v>2073</v>
      </c>
      <c r="C669" s="3" t="s">
        <v>2074</v>
      </c>
      <c r="D669" s="3" t="s">
        <v>2075</v>
      </c>
      <c r="E669" s="2">
        <v>2020</v>
      </c>
      <c r="F669" s="3" t="s">
        <v>22</v>
      </c>
      <c r="G669" s="2" t="s">
        <v>12</v>
      </c>
      <c r="H669" s="3" t="s">
        <v>181</v>
      </c>
      <c r="I669" s="10" t="str">
        <f>HYPERLINK("http://dx.doi.org/10.1016/j.bmcl.2020.127579","http://dx.doi.org/10.1016/j.bmcl.2020.127579")</f>
        <v>http://dx.doi.org/10.1016/j.bmcl.2020.127579</v>
      </c>
    </row>
    <row r="670" spans="1:9" ht="75" x14ac:dyDescent="0.25">
      <c r="A670" s="2">
        <v>667</v>
      </c>
      <c r="B670" s="3" t="s">
        <v>2076</v>
      </c>
      <c r="C670" s="3" t="s">
        <v>1113</v>
      </c>
      <c r="D670" s="3" t="s">
        <v>2077</v>
      </c>
      <c r="E670" s="2">
        <v>2018</v>
      </c>
      <c r="F670" s="3" t="s">
        <v>1097</v>
      </c>
      <c r="G670" s="2" t="s">
        <v>12</v>
      </c>
      <c r="H670" s="3" t="s">
        <v>525</v>
      </c>
      <c r="I670" s="10" t="str">
        <f>HYPERLINK("http://dx.doi.org/10.1063/1.5032611","http://dx.doi.org/10.1063/1.5032611")</f>
        <v>http://dx.doi.org/10.1063/1.5032611</v>
      </c>
    </row>
    <row r="671" spans="1:9" ht="75" x14ac:dyDescent="0.25">
      <c r="A671" s="2">
        <v>668</v>
      </c>
      <c r="B671" s="3" t="s">
        <v>2078</v>
      </c>
      <c r="C671" s="3" t="s">
        <v>1969</v>
      </c>
      <c r="D671" s="3" t="s">
        <v>2079</v>
      </c>
      <c r="E671" s="2">
        <v>2019</v>
      </c>
      <c r="F671" s="3" t="s">
        <v>261</v>
      </c>
      <c r="G671" s="2" t="s">
        <v>12</v>
      </c>
      <c r="H671" s="3" t="s">
        <v>277</v>
      </c>
      <c r="I671" s="10" t="str">
        <f>HYPERLINK("http://dx.doi.org/10.1016/j.mseb.2019.114388","http://dx.doi.org/10.1016/j.mseb.2019.114388")</f>
        <v>http://dx.doi.org/10.1016/j.mseb.2019.114388</v>
      </c>
    </row>
    <row r="672" spans="1:9" ht="105" x14ac:dyDescent="0.25">
      <c r="A672" s="2">
        <v>669</v>
      </c>
      <c r="B672" s="3" t="s">
        <v>2042</v>
      </c>
      <c r="C672" s="3" t="s">
        <v>2080</v>
      </c>
      <c r="D672" s="3" t="s">
        <v>2081</v>
      </c>
      <c r="E672" s="2">
        <v>2019</v>
      </c>
      <c r="F672" s="3" t="s">
        <v>951</v>
      </c>
      <c r="G672" s="2" t="s">
        <v>12</v>
      </c>
      <c r="H672" s="3" t="s">
        <v>439</v>
      </c>
      <c r="I672" s="10" t="str">
        <f>HYPERLINK("http://dx.doi.org/10.1556/1006.2019.32.1.10","http://dx.doi.org/10.1556/1006.2019.32.1.10")</f>
        <v>http://dx.doi.org/10.1556/1006.2019.32.1.10</v>
      </c>
    </row>
    <row r="673" spans="1:9" ht="90" x14ac:dyDescent="0.25">
      <c r="A673" s="2">
        <v>670</v>
      </c>
      <c r="B673" s="3" t="s">
        <v>2082</v>
      </c>
      <c r="C673" s="3" t="s">
        <v>2083</v>
      </c>
      <c r="D673" s="3" t="s">
        <v>2084</v>
      </c>
      <c r="E673" s="2">
        <v>2019</v>
      </c>
      <c r="F673" s="3" t="s">
        <v>1900</v>
      </c>
      <c r="G673" s="2" t="s">
        <v>12</v>
      </c>
      <c r="H673" s="3" t="s">
        <v>2085</v>
      </c>
      <c r="I673" s="10" t="str">
        <f>HYPERLINK("http://dx.doi.org/10.4314/bcse.v33i2.15","http://dx.doi.org/10.4314/bcse.v33i2.15")</f>
        <v>http://dx.doi.org/10.4314/bcse.v33i2.15</v>
      </c>
    </row>
    <row r="674" spans="1:9" ht="75" x14ac:dyDescent="0.25">
      <c r="A674" s="2">
        <v>671</v>
      </c>
      <c r="B674" s="3" t="s">
        <v>2086</v>
      </c>
      <c r="C674" s="3" t="s">
        <v>1512</v>
      </c>
      <c r="D674" s="3" t="s">
        <v>2087</v>
      </c>
      <c r="E674" s="2">
        <v>2024</v>
      </c>
      <c r="F674" s="3" t="s">
        <v>261</v>
      </c>
      <c r="G674" s="2" t="s">
        <v>12</v>
      </c>
      <c r="H674" s="3" t="s">
        <v>277</v>
      </c>
      <c r="I674" s="10" t="str">
        <f>HYPERLINK("http://dx.doi.org/10.1016/j.molstruc.2023.137129","http://dx.doi.org/10.1016/j.molstruc.2023.137129")</f>
        <v>http://dx.doi.org/10.1016/j.molstruc.2023.137129</v>
      </c>
    </row>
    <row r="675" spans="1:9" ht="75" x14ac:dyDescent="0.25">
      <c r="A675" s="2">
        <v>672</v>
      </c>
      <c r="B675" s="3" t="s">
        <v>2088</v>
      </c>
      <c r="C675" s="3" t="s">
        <v>211</v>
      </c>
      <c r="D675" s="3" t="s">
        <v>2089</v>
      </c>
      <c r="E675" s="2">
        <v>2023</v>
      </c>
      <c r="F675" s="3" t="s">
        <v>895</v>
      </c>
      <c r="G675" s="2" t="s">
        <v>12</v>
      </c>
      <c r="H675" s="3" t="s">
        <v>288</v>
      </c>
      <c r="I675" s="10" t="str">
        <f>HYPERLINK("http://dx.doi.org/10.1080/2331186X.2023.2235954","http://dx.doi.org/10.1080/2331186X.2023.2235954")</f>
        <v>http://dx.doi.org/10.1080/2331186X.2023.2235954</v>
      </c>
    </row>
    <row r="676" spans="1:9" ht="90" x14ac:dyDescent="0.25">
      <c r="A676" s="2">
        <v>673</v>
      </c>
      <c r="B676" s="3" t="s">
        <v>2090</v>
      </c>
      <c r="C676" s="3" t="s">
        <v>2091</v>
      </c>
      <c r="D676" s="3" t="s">
        <v>2092</v>
      </c>
      <c r="E676" s="2">
        <v>2020</v>
      </c>
      <c r="F676" s="3" t="s">
        <v>394</v>
      </c>
      <c r="G676" s="2" t="s">
        <v>12</v>
      </c>
      <c r="H676" s="3" t="s">
        <v>277</v>
      </c>
      <c r="I676" s="10" t="str">
        <f>HYPERLINK("http://dx.doi.org/10.1016/j.jnoncrysol.2020.120277","http://dx.doi.org/10.1016/j.jnoncrysol.2020.120277")</f>
        <v>http://dx.doi.org/10.1016/j.jnoncrysol.2020.120277</v>
      </c>
    </row>
    <row r="677" spans="1:9" ht="60" x14ac:dyDescent="0.25">
      <c r="A677" s="2">
        <v>674</v>
      </c>
      <c r="B677" s="3" t="s">
        <v>2090</v>
      </c>
      <c r="C677" s="3" t="s">
        <v>60</v>
      </c>
      <c r="D677" s="3" t="s">
        <v>2093</v>
      </c>
      <c r="E677" s="2">
        <v>2021</v>
      </c>
      <c r="F677" s="3" t="s">
        <v>2094</v>
      </c>
      <c r="G677" s="2" t="s">
        <v>12</v>
      </c>
      <c r="H677" s="3" t="s">
        <v>181</v>
      </c>
      <c r="I677" s="10" t="str">
        <f>HYPERLINK("http://dx.doi.org/10.1016/j.apradiso.2021.109884","http://dx.doi.org/10.1016/j.apradiso.2021.109884")</f>
        <v>http://dx.doi.org/10.1016/j.apradiso.2021.109884</v>
      </c>
    </row>
    <row r="678" spans="1:9" ht="60" x14ac:dyDescent="0.25">
      <c r="A678" s="2">
        <v>675</v>
      </c>
      <c r="B678" s="3" t="s">
        <v>2095</v>
      </c>
      <c r="C678" s="3" t="s">
        <v>2096</v>
      </c>
      <c r="D678" s="3" t="s">
        <v>2097</v>
      </c>
      <c r="E678" s="2">
        <v>2019</v>
      </c>
      <c r="F678" s="3" t="s">
        <v>2098</v>
      </c>
      <c r="G678" s="2" t="s">
        <v>12</v>
      </c>
      <c r="H678" s="3" t="s">
        <v>84</v>
      </c>
      <c r="I678" s="10" t="str">
        <f>HYPERLINK("http://dx.doi.org/10.1142/S0217984919400153","http://dx.doi.org/10.1142/S0217984919400153")</f>
        <v>http://dx.doi.org/10.1142/S0217984919400153</v>
      </c>
    </row>
    <row r="679" spans="1:9" ht="75" x14ac:dyDescent="0.25">
      <c r="A679" s="2">
        <v>676</v>
      </c>
      <c r="B679" s="3" t="s">
        <v>2099</v>
      </c>
      <c r="C679" s="3" t="s">
        <v>2100</v>
      </c>
      <c r="D679" s="3" t="s">
        <v>2101</v>
      </c>
      <c r="E679" s="2">
        <v>2019</v>
      </c>
      <c r="F679" s="3" t="s">
        <v>831</v>
      </c>
      <c r="G679" s="2" t="s">
        <v>12</v>
      </c>
      <c r="H679" s="3" t="s">
        <v>686</v>
      </c>
      <c r="I679" s="10" t="str">
        <f>HYPERLINK("http://dx.doi.org/10.1016/j.physb.2019.04.031","http://dx.doi.org/10.1016/j.physb.2019.04.031")</f>
        <v>http://dx.doi.org/10.1016/j.physb.2019.04.031</v>
      </c>
    </row>
    <row r="680" spans="1:9" ht="165" x14ac:dyDescent="0.25">
      <c r="A680" s="2">
        <v>677</v>
      </c>
      <c r="B680" s="3" t="s">
        <v>2102</v>
      </c>
      <c r="C680" s="3" t="s">
        <v>1220</v>
      </c>
      <c r="D680" s="3" t="s">
        <v>2103</v>
      </c>
      <c r="E680" s="2">
        <v>2018</v>
      </c>
      <c r="F680" s="3" t="s">
        <v>261</v>
      </c>
      <c r="G680" s="2" t="s">
        <v>12</v>
      </c>
      <c r="H680" s="3" t="s">
        <v>58</v>
      </c>
      <c r="I680" s="10" t="str">
        <f>HYPERLINK("http://dx.doi.org/10.1039/c8nj04622k","http://dx.doi.org/10.1039/c8nj04622k")</f>
        <v>http://dx.doi.org/10.1039/c8nj04622k</v>
      </c>
    </row>
    <row r="681" spans="1:9" ht="60" x14ac:dyDescent="0.25">
      <c r="A681" s="2">
        <v>678</v>
      </c>
      <c r="B681" s="3" t="s">
        <v>2104</v>
      </c>
      <c r="C681" s="3" t="s">
        <v>2105</v>
      </c>
      <c r="D681" s="3" t="s">
        <v>2106</v>
      </c>
      <c r="E681" s="2">
        <v>2018</v>
      </c>
      <c r="F681" s="3" t="s">
        <v>1676</v>
      </c>
      <c r="G681" s="2" t="s">
        <v>12</v>
      </c>
      <c r="H681" s="3" t="s">
        <v>67</v>
      </c>
      <c r="I681" s="10" t="str">
        <f>HYPERLINK("http://dx.doi.org/10.1111/1348-0421.12606","http://dx.doi.org/10.1111/1348-0421.12606")</f>
        <v>http://dx.doi.org/10.1111/1348-0421.12606</v>
      </c>
    </row>
    <row r="682" spans="1:9" ht="105" x14ac:dyDescent="0.25">
      <c r="A682" s="2">
        <v>679</v>
      </c>
      <c r="B682" s="3" t="s">
        <v>2107</v>
      </c>
      <c r="C682" s="3" t="s">
        <v>1969</v>
      </c>
      <c r="D682" s="3" t="s">
        <v>2108</v>
      </c>
      <c r="E682" s="2">
        <v>2020</v>
      </c>
      <c r="F682" s="3" t="s">
        <v>1352</v>
      </c>
      <c r="G682" s="2" t="s">
        <v>12</v>
      </c>
      <c r="H682" s="3" t="s">
        <v>23</v>
      </c>
      <c r="I682" s="10" t="str">
        <f>HYPERLINK("http://dx.doi.org/10.1002/cbdv.201900624","http://dx.doi.org/10.1002/cbdv.201900624")</f>
        <v>http://dx.doi.org/10.1002/cbdv.201900624</v>
      </c>
    </row>
    <row r="683" spans="1:9" ht="105" x14ac:dyDescent="0.25">
      <c r="A683" s="2">
        <v>680</v>
      </c>
      <c r="B683" s="3" t="s">
        <v>2109</v>
      </c>
      <c r="C683" s="3" t="s">
        <v>1127</v>
      </c>
      <c r="D683" s="3" t="s">
        <v>2110</v>
      </c>
      <c r="E683" s="2">
        <v>2019</v>
      </c>
      <c r="F683" s="3" t="s">
        <v>1097</v>
      </c>
      <c r="G683" s="2" t="s">
        <v>12</v>
      </c>
      <c r="H683" s="3" t="s">
        <v>181</v>
      </c>
      <c r="I683" s="10" t="str">
        <f>HYPERLINK("http://dx.doi.org/10.1016/j.bmcl.2019.08.022","http://dx.doi.org/10.1016/j.bmcl.2019.08.022")</f>
        <v>http://dx.doi.org/10.1016/j.bmcl.2019.08.022</v>
      </c>
    </row>
    <row r="684" spans="1:9" ht="75" x14ac:dyDescent="0.25">
      <c r="A684" s="2">
        <v>681</v>
      </c>
      <c r="B684" s="3" t="s">
        <v>2111</v>
      </c>
      <c r="C684" s="3" t="s">
        <v>817</v>
      </c>
      <c r="D684" s="3" t="s">
        <v>2112</v>
      </c>
      <c r="E684" s="2">
        <v>2018</v>
      </c>
      <c r="F684" s="3" t="s">
        <v>1352</v>
      </c>
      <c r="G684" s="2" t="s">
        <v>12</v>
      </c>
      <c r="H684" s="3" t="s">
        <v>1202</v>
      </c>
      <c r="I684" s="10" t="str">
        <f>HYPERLINK("http://dx.doi.org/10.1016/j.jallcom.2018.08.061","http://dx.doi.org/10.1016/j.jallcom.2018.08.061")</f>
        <v>http://dx.doi.org/10.1016/j.jallcom.2018.08.061</v>
      </c>
    </row>
    <row r="685" spans="1:9" ht="30" x14ac:dyDescent="0.25">
      <c r="A685" s="2">
        <v>682</v>
      </c>
      <c r="B685" s="3" t="s">
        <v>2040</v>
      </c>
      <c r="C685" s="3" t="s">
        <v>1695</v>
      </c>
      <c r="D685" s="3" t="s">
        <v>2113</v>
      </c>
      <c r="E685" s="2">
        <v>2018</v>
      </c>
      <c r="F685" s="3" t="s">
        <v>2114</v>
      </c>
      <c r="G685" s="2" t="s">
        <v>12</v>
      </c>
      <c r="H685" s="3" t="s">
        <v>525</v>
      </c>
      <c r="I685" s="10" t="str">
        <f>HYPERLINK("http://dx.doi.org/10.1063/1.5032334","http://dx.doi.org/10.1063/1.5032334")</f>
        <v>http://dx.doi.org/10.1063/1.5032334</v>
      </c>
    </row>
    <row r="686" spans="1:9" ht="60" x14ac:dyDescent="0.25">
      <c r="A686" s="2">
        <v>683</v>
      </c>
      <c r="B686" s="3" t="s">
        <v>2115</v>
      </c>
      <c r="C686" s="3" t="s">
        <v>81</v>
      </c>
      <c r="D686" s="3" t="s">
        <v>2116</v>
      </c>
      <c r="E686" s="2">
        <v>2023</v>
      </c>
      <c r="F686" s="3" t="s">
        <v>704</v>
      </c>
      <c r="G686" s="2" t="s">
        <v>12</v>
      </c>
      <c r="H686" s="3" t="s">
        <v>799</v>
      </c>
      <c r="I686" s="10" t="str">
        <f>HYPERLINK("http://dx.doi.org/10.3390/data8110168","http://dx.doi.org/10.3390/data8110168")</f>
        <v>http://dx.doi.org/10.3390/data8110168</v>
      </c>
    </row>
    <row r="687" spans="1:9" ht="75" x14ac:dyDescent="0.25">
      <c r="A687" s="2">
        <v>684</v>
      </c>
      <c r="B687" s="3" t="s">
        <v>2117</v>
      </c>
      <c r="C687" s="3" t="s">
        <v>1532</v>
      </c>
      <c r="D687" s="3" t="s">
        <v>2118</v>
      </c>
      <c r="E687" s="2">
        <v>2022</v>
      </c>
      <c r="F687" s="3" t="s">
        <v>261</v>
      </c>
      <c r="G687" s="2" t="s">
        <v>12</v>
      </c>
      <c r="H687" s="3" t="s">
        <v>1202</v>
      </c>
      <c r="I687" s="10" t="str">
        <f>HYPERLINK("http://dx.doi.org/10.1016/j.jallcom.2022.166722","http://dx.doi.org/10.1016/j.jallcom.2022.166722")</f>
        <v>http://dx.doi.org/10.1016/j.jallcom.2022.166722</v>
      </c>
    </row>
    <row r="688" spans="1:9" ht="105" x14ac:dyDescent="0.25">
      <c r="A688" s="2">
        <v>685</v>
      </c>
      <c r="B688" s="3" t="s">
        <v>2119</v>
      </c>
      <c r="C688" s="3" t="s">
        <v>1342</v>
      </c>
      <c r="D688" s="3" t="s">
        <v>2120</v>
      </c>
      <c r="E688" s="2">
        <v>2020</v>
      </c>
      <c r="F688" s="3" t="s">
        <v>261</v>
      </c>
      <c r="G688" s="2" t="s">
        <v>12</v>
      </c>
      <c r="H688" s="3" t="s">
        <v>58</v>
      </c>
      <c r="I688" s="10" t="str">
        <f>HYPERLINK("http://dx.doi.org/10.1039/d0ra04319b","http://dx.doi.org/10.1039/d0ra04319b")</f>
        <v>http://dx.doi.org/10.1039/d0ra04319b</v>
      </c>
    </row>
    <row r="689" spans="1:9" ht="120" x14ac:dyDescent="0.25">
      <c r="A689" s="2">
        <v>686</v>
      </c>
      <c r="B689" s="3" t="s">
        <v>2121</v>
      </c>
      <c r="C689" s="3" t="s">
        <v>81</v>
      </c>
      <c r="D689" s="3" t="s">
        <v>2122</v>
      </c>
      <c r="E689" s="2">
        <v>2020</v>
      </c>
      <c r="F689" s="3" t="s">
        <v>394</v>
      </c>
      <c r="G689" s="2" t="s">
        <v>12</v>
      </c>
      <c r="H689" s="3" t="s">
        <v>67</v>
      </c>
      <c r="I689" s="10" t="str">
        <f>HYPERLINK("http://dx.doi.org/10.1002/jhet.3920","http://dx.doi.org/10.1002/jhet.3920")</f>
        <v>http://dx.doi.org/10.1002/jhet.3920</v>
      </c>
    </row>
    <row r="690" spans="1:9" ht="60" x14ac:dyDescent="0.25">
      <c r="A690" s="2">
        <v>687</v>
      </c>
      <c r="B690" s="3" t="s">
        <v>2123</v>
      </c>
      <c r="C690" s="3" t="s">
        <v>1212</v>
      </c>
      <c r="D690" s="3" t="s">
        <v>2124</v>
      </c>
      <c r="E690" s="2">
        <v>2019</v>
      </c>
      <c r="F690" s="3" t="s">
        <v>2125</v>
      </c>
      <c r="G690" s="2" t="s">
        <v>12</v>
      </c>
      <c r="H690" s="3" t="s">
        <v>277</v>
      </c>
      <c r="I690" s="10" t="str">
        <f>HYPERLINK("http://dx.doi.org/10.1016/j.dib.2019.104369","http://dx.doi.org/10.1016/j.dib.2019.104369")</f>
        <v>http://dx.doi.org/10.1016/j.dib.2019.104369</v>
      </c>
    </row>
    <row r="691" spans="1:9" ht="75" x14ac:dyDescent="0.25">
      <c r="A691" s="2">
        <v>688</v>
      </c>
      <c r="B691" s="3" t="s">
        <v>2126</v>
      </c>
      <c r="C691" s="3" t="s">
        <v>890</v>
      </c>
      <c r="D691" s="3" t="s">
        <v>2127</v>
      </c>
      <c r="E691" s="2">
        <v>2019</v>
      </c>
      <c r="F691" s="3" t="s">
        <v>2128</v>
      </c>
      <c r="G691" s="2" t="s">
        <v>12</v>
      </c>
      <c r="H691" s="3" t="s">
        <v>23</v>
      </c>
      <c r="I691" s="10" t="str">
        <f>HYPERLINK("http://dx.doi.org/10.1002/jccs.201800312","http://dx.doi.org/10.1002/jccs.201800312")</f>
        <v>http://dx.doi.org/10.1002/jccs.201800312</v>
      </c>
    </row>
    <row r="692" spans="1:9" ht="75" x14ac:dyDescent="0.25">
      <c r="A692" s="2">
        <v>689</v>
      </c>
      <c r="B692" s="3" t="s">
        <v>2129</v>
      </c>
      <c r="C692" s="3" t="s">
        <v>2130</v>
      </c>
      <c r="D692" s="3" t="s">
        <v>2131</v>
      </c>
      <c r="E692" s="2">
        <v>2022</v>
      </c>
      <c r="F692" s="3" t="s">
        <v>460</v>
      </c>
      <c r="G692" s="2" t="s">
        <v>12</v>
      </c>
      <c r="H692" s="3" t="s">
        <v>205</v>
      </c>
      <c r="I692" s="10" t="str">
        <f>HYPERLINK("http://dx.doi.org/10.1080/00397911.2022.2063061","http://dx.doi.org/10.1080/00397911.2022.2063061")</f>
        <v>http://dx.doi.org/10.1080/00397911.2022.2063061</v>
      </c>
    </row>
    <row r="693" spans="1:9" ht="60" x14ac:dyDescent="0.25">
      <c r="A693" s="2">
        <v>690</v>
      </c>
      <c r="B693" s="3" t="s">
        <v>2132</v>
      </c>
      <c r="C693" s="3" t="s">
        <v>2133</v>
      </c>
      <c r="D693" s="3" t="s">
        <v>2134</v>
      </c>
      <c r="E693" s="2">
        <v>2020</v>
      </c>
      <c r="F693" s="3" t="s">
        <v>271</v>
      </c>
      <c r="G693" s="2" t="s">
        <v>12</v>
      </c>
      <c r="H693" s="3" t="s">
        <v>1337</v>
      </c>
      <c r="I693" s="10" t="str">
        <f>HYPERLINK("http://dx.doi.org/10.1007/s00044-020-02540-5","http://dx.doi.org/10.1007/s00044-020-02540-5")</f>
        <v>http://dx.doi.org/10.1007/s00044-020-02540-5</v>
      </c>
    </row>
    <row r="694" spans="1:9" ht="135" x14ac:dyDescent="0.25">
      <c r="A694" s="2">
        <v>691</v>
      </c>
      <c r="B694" s="3" t="s">
        <v>2135</v>
      </c>
      <c r="C694" s="3" t="s">
        <v>192</v>
      </c>
      <c r="D694" s="3" t="s">
        <v>2136</v>
      </c>
      <c r="E694" s="2">
        <v>2020</v>
      </c>
      <c r="F694" s="3" t="s">
        <v>1174</v>
      </c>
      <c r="G694" s="2" t="s">
        <v>12</v>
      </c>
      <c r="H694" s="3" t="s">
        <v>453</v>
      </c>
      <c r="I694" s="10" t="str">
        <f>HYPERLINK("http://dx.doi.org/10.3389/fmats.2020.00068","http://dx.doi.org/10.3389/fmats.2020.00068")</f>
        <v>http://dx.doi.org/10.3389/fmats.2020.00068</v>
      </c>
    </row>
    <row r="695" spans="1:9" ht="75" x14ac:dyDescent="0.25">
      <c r="A695" s="2">
        <v>692</v>
      </c>
      <c r="B695" s="3" t="s">
        <v>2137</v>
      </c>
      <c r="C695" s="3" t="s">
        <v>2138</v>
      </c>
      <c r="D695" s="3" t="s">
        <v>2139</v>
      </c>
      <c r="E695" s="2">
        <v>2018</v>
      </c>
      <c r="F695" s="3" t="s">
        <v>1054</v>
      </c>
      <c r="G695" s="2" t="s">
        <v>12</v>
      </c>
      <c r="H695" s="3" t="s">
        <v>686</v>
      </c>
      <c r="I695" s="10" t="str">
        <f>HYPERLINK("http://dx.doi.org/10.1016/j.eti.2017.12.001","http://dx.doi.org/10.1016/j.eti.2017.12.001")</f>
        <v>http://dx.doi.org/10.1016/j.eti.2017.12.001</v>
      </c>
    </row>
    <row r="696" spans="1:9" ht="90" x14ac:dyDescent="0.25">
      <c r="A696" s="2">
        <v>693</v>
      </c>
      <c r="B696" s="3" t="s">
        <v>2140</v>
      </c>
      <c r="C696" s="3" t="s">
        <v>20</v>
      </c>
      <c r="D696" s="3" t="s">
        <v>2141</v>
      </c>
      <c r="E696" s="2">
        <v>2023</v>
      </c>
      <c r="F696" s="3" t="s">
        <v>1194</v>
      </c>
      <c r="G696" s="2" t="s">
        <v>12</v>
      </c>
      <c r="H696" s="3" t="s">
        <v>28</v>
      </c>
      <c r="I696" s="10" t="str">
        <f>HYPERLINK("http://dx.doi.org/10.1021/acsanm.3c02636","http://dx.doi.org/10.1021/acsanm.3c02636")</f>
        <v>http://dx.doi.org/10.1021/acsanm.3c02636</v>
      </c>
    </row>
    <row r="697" spans="1:9" ht="75" x14ac:dyDescent="0.25">
      <c r="A697" s="2">
        <v>694</v>
      </c>
      <c r="B697" s="3" t="s">
        <v>2142</v>
      </c>
      <c r="C697" s="3" t="s">
        <v>1152</v>
      </c>
      <c r="D697" s="3" t="s">
        <v>2143</v>
      </c>
      <c r="E697" s="2">
        <v>2023</v>
      </c>
      <c r="F697" s="3" t="s">
        <v>1418</v>
      </c>
      <c r="G697" s="2" t="s">
        <v>12</v>
      </c>
      <c r="H697" s="3" t="s">
        <v>277</v>
      </c>
      <c r="I697" s="10" t="str">
        <f>HYPERLINK("http://dx.doi.org/10.1016/j.physb.2023.414938","http://dx.doi.org/10.1016/j.physb.2023.414938")</f>
        <v>http://dx.doi.org/10.1016/j.physb.2023.414938</v>
      </c>
    </row>
    <row r="698" spans="1:9" ht="60" x14ac:dyDescent="0.25">
      <c r="A698" s="2">
        <v>695</v>
      </c>
      <c r="B698" s="3" t="s">
        <v>2144</v>
      </c>
      <c r="C698" s="3" t="s">
        <v>1459</v>
      </c>
      <c r="D698" s="3" t="s">
        <v>2145</v>
      </c>
      <c r="E698" s="2">
        <v>2023</v>
      </c>
      <c r="F698" s="3" t="s">
        <v>2146</v>
      </c>
      <c r="G698" s="2" t="s">
        <v>12</v>
      </c>
      <c r="H698" s="3" t="s">
        <v>67</v>
      </c>
      <c r="I698" s="10" t="str">
        <f>HYPERLINK("http://dx.doi.org/10.1002/app.53691","http://dx.doi.org/10.1002/app.53691")</f>
        <v>http://dx.doi.org/10.1002/app.53691</v>
      </c>
    </row>
    <row r="699" spans="1:9" ht="90" x14ac:dyDescent="0.25">
      <c r="A699" s="2">
        <v>696</v>
      </c>
      <c r="B699" s="3" t="s">
        <v>2147</v>
      </c>
      <c r="C699" s="3" t="s">
        <v>1009</v>
      </c>
      <c r="D699" s="3" t="s">
        <v>2148</v>
      </c>
      <c r="E699" s="2">
        <v>2020</v>
      </c>
      <c r="F699" s="3" t="s">
        <v>261</v>
      </c>
      <c r="G699" s="2" t="s">
        <v>12</v>
      </c>
      <c r="H699" s="3" t="s">
        <v>1202</v>
      </c>
      <c r="I699" s="10" t="str">
        <f>HYPERLINK("http://dx.doi.org/10.1016/j.jallcom.2020.155422","http://dx.doi.org/10.1016/j.jallcom.2020.155422")</f>
        <v>http://dx.doi.org/10.1016/j.jallcom.2020.155422</v>
      </c>
    </row>
    <row r="700" spans="1:9" ht="90" x14ac:dyDescent="0.25">
      <c r="A700" s="2">
        <v>697</v>
      </c>
      <c r="B700" s="3" t="s">
        <v>2149</v>
      </c>
      <c r="C700" s="3" t="s">
        <v>1969</v>
      </c>
      <c r="D700" s="3" t="s">
        <v>2150</v>
      </c>
      <c r="E700" s="2">
        <v>2019</v>
      </c>
      <c r="F700" s="3" t="s">
        <v>2151</v>
      </c>
      <c r="G700" s="2" t="s">
        <v>12</v>
      </c>
      <c r="H700" s="3" t="s">
        <v>67</v>
      </c>
      <c r="I700" s="10" t="str">
        <f>HYPERLINK("http://dx.doi.org/10.1111/jam.14305","http://dx.doi.org/10.1111/jam.14305")</f>
        <v>http://dx.doi.org/10.1111/jam.14305</v>
      </c>
    </row>
    <row r="701" spans="1:9" ht="90" x14ac:dyDescent="0.25">
      <c r="A701" s="2">
        <v>698</v>
      </c>
      <c r="B701" s="3" t="s">
        <v>2152</v>
      </c>
      <c r="C701" s="3" t="s">
        <v>2153</v>
      </c>
      <c r="D701" s="3" t="s">
        <v>2154</v>
      </c>
      <c r="E701" s="2">
        <v>2023</v>
      </c>
      <c r="F701" s="3" t="s">
        <v>261</v>
      </c>
      <c r="G701" s="2" t="s">
        <v>12</v>
      </c>
      <c r="H701" s="3" t="s">
        <v>205</v>
      </c>
      <c r="I701" s="10" t="str">
        <f>HYPERLINK("http://dx.doi.org/10.1080/07391102.2023.2291826","http://dx.doi.org/10.1080/07391102.2023.2291826")</f>
        <v>http://dx.doi.org/10.1080/07391102.2023.2291826</v>
      </c>
    </row>
    <row r="702" spans="1:9" ht="75" x14ac:dyDescent="0.25">
      <c r="A702" s="2">
        <v>699</v>
      </c>
      <c r="B702" s="3" t="s">
        <v>2155</v>
      </c>
      <c r="C702" s="3" t="s">
        <v>957</v>
      </c>
      <c r="D702" s="3" t="s">
        <v>2156</v>
      </c>
      <c r="E702" s="2">
        <v>2022</v>
      </c>
      <c r="F702" s="3" t="s">
        <v>1026</v>
      </c>
      <c r="G702" s="2" t="s">
        <v>12</v>
      </c>
      <c r="H702" s="3" t="s">
        <v>67</v>
      </c>
      <c r="I702" s="10" t="str">
        <f>HYPERLINK("http://dx.doi.org/10.1002/pat.5504","http://dx.doi.org/10.1002/pat.5504")</f>
        <v>http://dx.doi.org/10.1002/pat.5504</v>
      </c>
    </row>
    <row r="703" spans="1:9" ht="60" x14ac:dyDescent="0.25">
      <c r="A703" s="2">
        <v>700</v>
      </c>
      <c r="B703" s="3" t="s">
        <v>2157</v>
      </c>
      <c r="C703" s="3" t="s">
        <v>45</v>
      </c>
      <c r="D703" s="3" t="s">
        <v>2158</v>
      </c>
      <c r="E703" s="2">
        <v>2020</v>
      </c>
      <c r="F703" s="3" t="s">
        <v>559</v>
      </c>
      <c r="G703" s="2" t="s">
        <v>12</v>
      </c>
      <c r="H703" s="3" t="s">
        <v>18</v>
      </c>
      <c r="I703" s="10" t="str">
        <f>HYPERLINK("http://dx.doi.org/10.1007/s11696-019-00908-5","http://dx.doi.org/10.1007/s11696-019-00908-5")</f>
        <v>http://dx.doi.org/10.1007/s11696-019-00908-5</v>
      </c>
    </row>
    <row r="704" spans="1:9" ht="60" x14ac:dyDescent="0.25">
      <c r="A704" s="2">
        <v>701</v>
      </c>
      <c r="B704" s="3" t="s">
        <v>2159</v>
      </c>
      <c r="C704" s="3" t="s">
        <v>2160</v>
      </c>
      <c r="D704" s="3" t="s">
        <v>2161</v>
      </c>
      <c r="E704" s="2">
        <v>2020</v>
      </c>
      <c r="F704" s="3" t="s">
        <v>2162</v>
      </c>
      <c r="G704" s="2" t="s">
        <v>12</v>
      </c>
      <c r="H704" s="3" t="s">
        <v>2163</v>
      </c>
      <c r="I704" s="10" t="s">
        <v>2164</v>
      </c>
    </row>
    <row r="705" spans="1:9" ht="90" x14ac:dyDescent="0.25">
      <c r="A705" s="2">
        <v>702</v>
      </c>
      <c r="B705" s="3" t="s">
        <v>2165</v>
      </c>
      <c r="C705" s="3" t="s">
        <v>2166</v>
      </c>
      <c r="D705" s="3" t="s">
        <v>2167</v>
      </c>
      <c r="E705" s="2">
        <v>2019</v>
      </c>
      <c r="F705" s="3" t="s">
        <v>261</v>
      </c>
      <c r="G705" s="2" t="s">
        <v>12</v>
      </c>
      <c r="H705" s="3" t="s">
        <v>686</v>
      </c>
      <c r="I705" s="10" t="str">
        <f>HYPERLINK("http://dx.doi.org/10.1016/j.physb.2018.11.052","http://dx.doi.org/10.1016/j.physb.2018.11.052")</f>
        <v>http://dx.doi.org/10.1016/j.physb.2018.11.052</v>
      </c>
    </row>
    <row r="706" spans="1:9" ht="75" x14ac:dyDescent="0.25">
      <c r="A706" s="2">
        <v>703</v>
      </c>
      <c r="B706" s="3" t="s">
        <v>2168</v>
      </c>
      <c r="C706" s="3" t="s">
        <v>883</v>
      </c>
      <c r="D706" s="3" t="s">
        <v>2169</v>
      </c>
      <c r="E706" s="2">
        <v>2022</v>
      </c>
      <c r="F706" s="3" t="s">
        <v>1352</v>
      </c>
      <c r="G706" s="2" t="s">
        <v>12</v>
      </c>
      <c r="H706" s="3" t="s">
        <v>2170</v>
      </c>
      <c r="I706" s="10" t="str">
        <f>HYPERLINK("http://dx.doi.org/10.1155/2022/3553622","http://dx.doi.org/10.1155/2022/3553622")</f>
        <v>http://dx.doi.org/10.1155/2022/3553622</v>
      </c>
    </row>
    <row r="707" spans="1:9" ht="60" x14ac:dyDescent="0.25">
      <c r="A707" s="2">
        <v>704</v>
      </c>
      <c r="B707" s="3" t="s">
        <v>992</v>
      </c>
      <c r="C707" s="3" t="s">
        <v>1459</v>
      </c>
      <c r="D707" s="3" t="s">
        <v>2171</v>
      </c>
      <c r="E707" s="2">
        <v>2021</v>
      </c>
      <c r="F707" s="3" t="s">
        <v>2172</v>
      </c>
      <c r="G707" s="2" t="s">
        <v>12</v>
      </c>
      <c r="H707" s="3" t="s">
        <v>923</v>
      </c>
      <c r="I707" s="10" t="str">
        <f>HYPERLINK("http://dx.doi.org/10.1108/IJIUS-07-2021-0085","http://dx.doi.org/10.1108/IJIUS-07-2021-0085")</f>
        <v>http://dx.doi.org/10.1108/IJIUS-07-2021-0085</v>
      </c>
    </row>
    <row r="708" spans="1:9" ht="75" x14ac:dyDescent="0.25">
      <c r="A708" s="2">
        <v>705</v>
      </c>
      <c r="B708" s="3" t="s">
        <v>2173</v>
      </c>
      <c r="C708" s="3" t="s">
        <v>1750</v>
      </c>
      <c r="D708" s="3" t="s">
        <v>2174</v>
      </c>
      <c r="E708" s="2">
        <v>2020</v>
      </c>
      <c r="F708" s="3" t="s">
        <v>2175</v>
      </c>
      <c r="G708" s="2" t="s">
        <v>12</v>
      </c>
      <c r="H708" s="3" t="s">
        <v>453</v>
      </c>
      <c r="I708" s="10" t="str">
        <f>HYPERLINK("http://dx.doi.org/10.3389/fchem.2020.00474","http://dx.doi.org/10.3389/fchem.2020.00474")</f>
        <v>http://dx.doi.org/10.3389/fchem.2020.00474</v>
      </c>
    </row>
    <row r="709" spans="1:9" ht="135" x14ac:dyDescent="0.25">
      <c r="A709" s="2">
        <v>706</v>
      </c>
      <c r="B709" s="3" t="s">
        <v>2176</v>
      </c>
      <c r="C709" s="3" t="s">
        <v>2177</v>
      </c>
      <c r="D709" s="3" t="s">
        <v>2178</v>
      </c>
      <c r="E709" s="2">
        <v>2018</v>
      </c>
      <c r="F709" s="3" t="s">
        <v>1330</v>
      </c>
      <c r="G709" s="2" t="s">
        <v>12</v>
      </c>
      <c r="H709" s="3" t="s">
        <v>966</v>
      </c>
      <c r="I709" s="10" t="s">
        <v>2179</v>
      </c>
    </row>
    <row r="710" spans="1:9" ht="75" x14ac:dyDescent="0.25">
      <c r="A710" s="2">
        <v>707</v>
      </c>
      <c r="B710" s="3" t="s">
        <v>2180</v>
      </c>
      <c r="C710" s="3" t="s">
        <v>1152</v>
      </c>
      <c r="D710" s="3" t="s">
        <v>2181</v>
      </c>
      <c r="E710" s="2">
        <v>2022</v>
      </c>
      <c r="F710" s="3" t="s">
        <v>1303</v>
      </c>
      <c r="G710" s="2" t="s">
        <v>12</v>
      </c>
      <c r="H710" s="3" t="s">
        <v>698</v>
      </c>
      <c r="I710" s="10" t="str">
        <f>HYPERLINK("http://dx.doi.org/10.1134/S1070428022100116","http://dx.doi.org/10.1134/S1070428022100116")</f>
        <v>http://dx.doi.org/10.1134/S1070428022100116</v>
      </c>
    </row>
    <row r="711" spans="1:9" ht="75" x14ac:dyDescent="0.25">
      <c r="A711" s="2">
        <v>708</v>
      </c>
      <c r="B711" s="3" t="s">
        <v>2182</v>
      </c>
      <c r="C711" s="3" t="s">
        <v>1413</v>
      </c>
      <c r="D711" s="3" t="s">
        <v>2183</v>
      </c>
      <c r="E711" s="2">
        <v>2021</v>
      </c>
      <c r="F711" s="3" t="s">
        <v>898</v>
      </c>
      <c r="G711" s="2" t="s">
        <v>12</v>
      </c>
      <c r="H711" s="3" t="s">
        <v>715</v>
      </c>
      <c r="I711" s="10" t="str">
        <f>HYPERLINK("http://dx.doi.org/10.13005/ojc/370405","http://dx.doi.org/10.13005/ojc/370405")</f>
        <v>http://dx.doi.org/10.13005/ojc/370405</v>
      </c>
    </row>
    <row r="712" spans="1:9" ht="45" x14ac:dyDescent="0.25">
      <c r="A712" s="2">
        <v>709</v>
      </c>
      <c r="B712" s="3" t="s">
        <v>2184</v>
      </c>
      <c r="C712" s="3" t="s">
        <v>2185</v>
      </c>
      <c r="D712" s="3" t="s">
        <v>2186</v>
      </c>
      <c r="E712" s="2">
        <v>2023</v>
      </c>
      <c r="F712" s="3" t="s">
        <v>1352</v>
      </c>
      <c r="G712" s="2" t="s">
        <v>12</v>
      </c>
      <c r="H712" s="3" t="s">
        <v>67</v>
      </c>
      <c r="I712" s="10" t="str">
        <f>HYPERLINK("http://dx.doi.org/10.1002/bab.2168","http://dx.doi.org/10.1002/bab.2168")</f>
        <v>http://dx.doi.org/10.1002/bab.2168</v>
      </c>
    </row>
    <row r="713" spans="1:9" ht="45" x14ac:dyDescent="0.25">
      <c r="A713" s="2">
        <v>710</v>
      </c>
      <c r="B713" s="3" t="s">
        <v>2187</v>
      </c>
      <c r="C713" s="3" t="s">
        <v>925</v>
      </c>
      <c r="D713" s="3" t="s">
        <v>2188</v>
      </c>
      <c r="E713" s="2">
        <v>2021</v>
      </c>
      <c r="F713" s="3" t="s">
        <v>2189</v>
      </c>
      <c r="G713" s="2" t="s">
        <v>12</v>
      </c>
      <c r="H713" s="3" t="s">
        <v>453</v>
      </c>
      <c r="I713" s="10" t="str">
        <f>HYPERLINK("http://dx.doi.org/10.3389/fmats.2021.626397","http://dx.doi.org/10.3389/fmats.2021.626397")</f>
        <v>http://dx.doi.org/10.3389/fmats.2021.626397</v>
      </c>
    </row>
    <row r="714" spans="1:9" ht="60" x14ac:dyDescent="0.25">
      <c r="A714" s="2">
        <v>711</v>
      </c>
      <c r="B714" s="3" t="s">
        <v>2190</v>
      </c>
      <c r="C714" s="3" t="s">
        <v>1532</v>
      </c>
      <c r="D714" s="3" t="s">
        <v>2191</v>
      </c>
      <c r="E714" s="2">
        <v>2021</v>
      </c>
      <c r="F714" s="3" t="s">
        <v>261</v>
      </c>
      <c r="G714" s="2" t="s">
        <v>12</v>
      </c>
      <c r="H714" s="3" t="s">
        <v>2192</v>
      </c>
      <c r="I714" s="10" t="str">
        <f>HYPERLINK("http://dx.doi.org/10.21833/ijaas.2021.01.010","http://dx.doi.org/10.21833/ijaas.2021.01.010")</f>
        <v>http://dx.doi.org/10.21833/ijaas.2021.01.010</v>
      </c>
    </row>
    <row r="715" spans="1:9" ht="45" x14ac:dyDescent="0.25">
      <c r="A715" s="2">
        <v>712</v>
      </c>
      <c r="B715" s="3" t="s">
        <v>2193</v>
      </c>
      <c r="C715" s="3" t="s">
        <v>56</v>
      </c>
      <c r="D715" s="3" t="s">
        <v>2194</v>
      </c>
      <c r="E715" s="2">
        <v>2021</v>
      </c>
      <c r="F715" s="3" t="s">
        <v>2195</v>
      </c>
      <c r="G715" s="2" t="s">
        <v>12</v>
      </c>
      <c r="H715" s="3" t="s">
        <v>48</v>
      </c>
      <c r="I715" s="10" t="str">
        <f>HYPERLINK("http://dx.doi.org/10.1007/s10854-020-04790-w","http://dx.doi.org/10.1007/s10854-020-04790-w")</f>
        <v>http://dx.doi.org/10.1007/s10854-020-04790-w</v>
      </c>
    </row>
    <row r="716" spans="1:9" ht="60" x14ac:dyDescent="0.25">
      <c r="A716" s="2">
        <v>713</v>
      </c>
      <c r="B716" s="3" t="s">
        <v>2196</v>
      </c>
      <c r="C716" s="3" t="s">
        <v>45</v>
      </c>
      <c r="D716" s="3" t="s">
        <v>2197</v>
      </c>
      <c r="E716" s="2">
        <v>2018</v>
      </c>
      <c r="F716" s="3" t="s">
        <v>1857</v>
      </c>
      <c r="G716" s="2" t="s">
        <v>12</v>
      </c>
      <c r="H716" s="3" t="s">
        <v>2198</v>
      </c>
      <c r="I716" s="10" t="str">
        <f>HYPERLINK("http://dx.doi.org/10.1134/S0022476618050177","http://dx.doi.org/10.1134/S0022476618050177")</f>
        <v>http://dx.doi.org/10.1134/S0022476618050177</v>
      </c>
    </row>
    <row r="717" spans="1:9" ht="90" x14ac:dyDescent="0.25">
      <c r="A717" s="2">
        <v>714</v>
      </c>
      <c r="B717" s="3" t="s">
        <v>2199</v>
      </c>
      <c r="C717" s="3" t="s">
        <v>2200</v>
      </c>
      <c r="D717" s="3" t="s">
        <v>2201</v>
      </c>
      <c r="E717" s="2">
        <v>2021</v>
      </c>
      <c r="F717" s="3" t="s">
        <v>2202</v>
      </c>
      <c r="G717" s="2" t="s">
        <v>12</v>
      </c>
      <c r="H717" s="3" t="s">
        <v>277</v>
      </c>
      <c r="I717" s="10" t="str">
        <f>HYPERLINK("http://dx.doi.org/10.1016/j.inoche.2021.108577","http://dx.doi.org/10.1016/j.inoche.2021.108577")</f>
        <v>http://dx.doi.org/10.1016/j.inoche.2021.108577</v>
      </c>
    </row>
    <row r="718" spans="1:9" ht="60" x14ac:dyDescent="0.25">
      <c r="A718" s="2">
        <v>715</v>
      </c>
      <c r="B718" s="3" t="s">
        <v>2203</v>
      </c>
      <c r="C718" s="3" t="s">
        <v>2204</v>
      </c>
      <c r="D718" s="3" t="s">
        <v>2205</v>
      </c>
      <c r="E718" s="2">
        <v>2019</v>
      </c>
      <c r="F718" s="3" t="s">
        <v>704</v>
      </c>
      <c r="G718" s="2" t="s">
        <v>12</v>
      </c>
      <c r="H718" s="3" t="s">
        <v>2206</v>
      </c>
      <c r="I718" s="10" t="str">
        <f>HYPERLINK("http://dx.doi.org/10.1088/1674-4527/19/7/105","http://dx.doi.org/10.1088/1674-4527/19/7/105")</f>
        <v>http://dx.doi.org/10.1088/1674-4527/19/7/105</v>
      </c>
    </row>
    <row r="719" spans="1:9" ht="60" x14ac:dyDescent="0.25">
      <c r="A719" s="2">
        <v>716</v>
      </c>
      <c r="B719" s="3" t="s">
        <v>2207</v>
      </c>
      <c r="C719" s="3" t="s">
        <v>506</v>
      </c>
      <c r="D719" s="3" t="s">
        <v>2208</v>
      </c>
      <c r="E719" s="2">
        <v>2022</v>
      </c>
      <c r="F719" s="3" t="s">
        <v>2209</v>
      </c>
      <c r="G719" s="2" t="s">
        <v>12</v>
      </c>
      <c r="H719" s="3" t="s">
        <v>48</v>
      </c>
      <c r="I719" s="10" t="str">
        <f>HYPERLINK("http://dx.doi.org/10.1007/s11164-022-04842-2","http://dx.doi.org/10.1007/s11164-022-04842-2")</f>
        <v>http://dx.doi.org/10.1007/s11164-022-04842-2</v>
      </c>
    </row>
    <row r="720" spans="1:9" ht="75" x14ac:dyDescent="0.25">
      <c r="A720" s="2">
        <v>717</v>
      </c>
      <c r="B720" s="3" t="s">
        <v>2210</v>
      </c>
      <c r="C720" s="3" t="s">
        <v>2211</v>
      </c>
      <c r="D720" s="3" t="s">
        <v>2212</v>
      </c>
      <c r="E720" s="2">
        <v>2021</v>
      </c>
      <c r="F720" s="3" t="s">
        <v>1352</v>
      </c>
      <c r="G720" s="2" t="s">
        <v>12</v>
      </c>
      <c r="H720" s="3" t="s">
        <v>48</v>
      </c>
      <c r="I720" s="10" t="str">
        <f>HYPERLINK("http://dx.doi.org/10.1007/s10854-021-06353-z","http://dx.doi.org/10.1007/s10854-021-06353-z")</f>
        <v>http://dx.doi.org/10.1007/s10854-021-06353-z</v>
      </c>
    </row>
    <row r="721" spans="1:9" ht="135" x14ac:dyDescent="0.25">
      <c r="A721" s="2">
        <v>718</v>
      </c>
      <c r="B721" s="3" t="s">
        <v>2213</v>
      </c>
      <c r="C721" s="3" t="s">
        <v>1233</v>
      </c>
      <c r="D721" s="3" t="s">
        <v>2214</v>
      </c>
      <c r="E721" s="2">
        <v>2021</v>
      </c>
      <c r="F721" s="3" t="s">
        <v>2215</v>
      </c>
      <c r="G721" s="2" t="s">
        <v>12</v>
      </c>
      <c r="H721" s="3" t="s">
        <v>23</v>
      </c>
      <c r="I721" s="10" t="str">
        <f>HYPERLINK("http://dx.doi.org/10.1002/jccs.202000421","http://dx.doi.org/10.1002/jccs.202000421")</f>
        <v>http://dx.doi.org/10.1002/jccs.202000421</v>
      </c>
    </row>
    <row r="722" spans="1:9" ht="60" x14ac:dyDescent="0.25">
      <c r="A722" s="2">
        <v>719</v>
      </c>
      <c r="B722" s="3" t="s">
        <v>2216</v>
      </c>
      <c r="C722" s="3" t="s">
        <v>1113</v>
      </c>
      <c r="D722" s="3" t="s">
        <v>2217</v>
      </c>
      <c r="E722" s="2">
        <v>2021</v>
      </c>
      <c r="F722" s="3" t="s">
        <v>2218</v>
      </c>
      <c r="G722" s="2" t="s">
        <v>12</v>
      </c>
      <c r="H722" s="3" t="s">
        <v>288</v>
      </c>
      <c r="I722" s="10" t="str">
        <f>HYPERLINK("http://dx.doi.org/10.1080/23311975.2021.1878979","http://dx.doi.org/10.1080/23311975.2021.1878979")</f>
        <v>http://dx.doi.org/10.1080/23311975.2021.1878979</v>
      </c>
    </row>
    <row r="723" spans="1:9" ht="105" x14ac:dyDescent="0.25">
      <c r="A723" s="2">
        <v>720</v>
      </c>
      <c r="B723" s="3" t="s">
        <v>2219</v>
      </c>
      <c r="C723" s="3" t="s">
        <v>1254</v>
      </c>
      <c r="D723" s="3" t="s">
        <v>2220</v>
      </c>
      <c r="E723" s="2">
        <v>2023</v>
      </c>
      <c r="F723" s="3" t="s">
        <v>2221</v>
      </c>
      <c r="G723" s="2" t="s">
        <v>12</v>
      </c>
      <c r="H723" s="3" t="s">
        <v>91</v>
      </c>
      <c r="I723" s="10" t="str">
        <f>HYPERLINK("http://dx.doi.org/10.1080/10406638.2022.2105904","http://dx.doi.org/10.1080/10406638.2022.2105904")</f>
        <v>http://dx.doi.org/10.1080/10406638.2022.2105904</v>
      </c>
    </row>
    <row r="724" spans="1:9" ht="75" x14ac:dyDescent="0.25">
      <c r="A724" s="2">
        <v>721</v>
      </c>
      <c r="B724" s="3" t="s">
        <v>2222</v>
      </c>
      <c r="C724" s="3" t="s">
        <v>1487</v>
      </c>
      <c r="D724" s="3" t="s">
        <v>2223</v>
      </c>
      <c r="E724" s="2">
        <v>2021</v>
      </c>
      <c r="F724" s="3" t="s">
        <v>559</v>
      </c>
      <c r="G724" s="2" t="s">
        <v>12</v>
      </c>
      <c r="H724" s="3" t="s">
        <v>91</v>
      </c>
      <c r="I724" s="10" t="str">
        <f>HYPERLINK("http://dx.doi.org/10.1080/10420150.2020.1825958","http://dx.doi.org/10.1080/10420150.2020.1825958")</f>
        <v>http://dx.doi.org/10.1080/10420150.2020.1825958</v>
      </c>
    </row>
    <row r="725" spans="1:9" ht="75" x14ac:dyDescent="0.25">
      <c r="A725" s="2">
        <v>722</v>
      </c>
      <c r="B725" s="3" t="s">
        <v>2224</v>
      </c>
      <c r="C725" s="3" t="s">
        <v>2225</v>
      </c>
      <c r="D725" s="3" t="s">
        <v>2226</v>
      </c>
      <c r="E725" s="2">
        <v>2020</v>
      </c>
      <c r="F725" s="3" t="s">
        <v>2227</v>
      </c>
      <c r="G725" s="2" t="s">
        <v>12</v>
      </c>
      <c r="H725" s="3" t="s">
        <v>525</v>
      </c>
      <c r="I725" s="10" t="str">
        <f>HYPERLINK("http://dx.doi.org/10.1063/5.0017292","http://dx.doi.org/10.1063/5.0017292")</f>
        <v>http://dx.doi.org/10.1063/5.0017292</v>
      </c>
    </row>
    <row r="726" spans="1:9" ht="75" x14ac:dyDescent="0.25">
      <c r="A726" s="2">
        <v>723</v>
      </c>
      <c r="B726" s="3" t="s">
        <v>2228</v>
      </c>
      <c r="C726" s="3" t="s">
        <v>1196</v>
      </c>
      <c r="D726" s="3" t="s">
        <v>2229</v>
      </c>
      <c r="E726" s="2">
        <v>2019</v>
      </c>
      <c r="F726" s="3" t="s">
        <v>313</v>
      </c>
      <c r="G726" s="2" t="s">
        <v>12</v>
      </c>
      <c r="H726" s="3" t="s">
        <v>698</v>
      </c>
      <c r="I726" s="10" t="str">
        <f>HYPERLINK("http://dx.doi.org/10.1134/S0036024419130168","http://dx.doi.org/10.1134/S0036024419130168")</f>
        <v>http://dx.doi.org/10.1134/S0036024419130168</v>
      </c>
    </row>
    <row r="727" spans="1:9" ht="75" x14ac:dyDescent="0.25">
      <c r="A727" s="2">
        <v>724</v>
      </c>
      <c r="B727" s="3" t="s">
        <v>2230</v>
      </c>
      <c r="C727" s="3" t="s">
        <v>2231</v>
      </c>
      <c r="D727" s="3" t="s">
        <v>2232</v>
      </c>
      <c r="E727" s="2">
        <v>2018</v>
      </c>
      <c r="F727" s="3" t="s">
        <v>941</v>
      </c>
      <c r="G727" s="2" t="s">
        <v>12</v>
      </c>
      <c r="H727" s="3" t="s">
        <v>1202</v>
      </c>
      <c r="I727" s="10" t="str">
        <f>HYPERLINK("http://dx.doi.org/10.1016/j.jallcom.2017.11.326","http://dx.doi.org/10.1016/j.jallcom.2017.11.326")</f>
        <v>http://dx.doi.org/10.1016/j.jallcom.2017.11.326</v>
      </c>
    </row>
    <row r="728" spans="1:9" ht="90" x14ac:dyDescent="0.25">
      <c r="A728" s="2">
        <v>725</v>
      </c>
      <c r="B728" s="3" t="s">
        <v>2233</v>
      </c>
      <c r="C728" s="3" t="s">
        <v>1271</v>
      </c>
      <c r="D728" s="3" t="s">
        <v>2234</v>
      </c>
      <c r="E728" s="2">
        <v>2022</v>
      </c>
      <c r="F728" s="3" t="s">
        <v>2235</v>
      </c>
      <c r="G728" s="2" t="s">
        <v>12</v>
      </c>
      <c r="H728" s="3" t="s">
        <v>583</v>
      </c>
      <c r="I728" s="10" t="str">
        <f>HYPERLINK("http://dx.doi.org/10.1155/2022/4656846","http://dx.doi.org/10.1155/2022/4656846")</f>
        <v>http://dx.doi.org/10.1155/2022/4656846</v>
      </c>
    </row>
    <row r="729" spans="1:9" ht="90" x14ac:dyDescent="0.25">
      <c r="A729" s="2">
        <v>726</v>
      </c>
      <c r="B729" s="3" t="s">
        <v>2236</v>
      </c>
      <c r="C729" s="3" t="s">
        <v>458</v>
      </c>
      <c r="D729" s="3" t="s">
        <v>2237</v>
      </c>
      <c r="E729" s="2">
        <v>2021</v>
      </c>
      <c r="F729" s="3" t="s">
        <v>2238</v>
      </c>
      <c r="G729" s="2" t="s">
        <v>12</v>
      </c>
      <c r="H729" s="3" t="s">
        <v>48</v>
      </c>
      <c r="I729" s="10" t="str">
        <f>HYPERLINK("http://dx.doi.org/10.1007/s11033-021-06139-w","http://dx.doi.org/10.1007/s11033-021-06139-w")</f>
        <v>http://dx.doi.org/10.1007/s11033-021-06139-w</v>
      </c>
    </row>
    <row r="730" spans="1:9" ht="165" x14ac:dyDescent="0.25">
      <c r="A730" s="2">
        <v>727</v>
      </c>
      <c r="B730" s="3" t="s">
        <v>2239</v>
      </c>
      <c r="C730" s="3" t="s">
        <v>81</v>
      </c>
      <c r="D730" s="3" t="s">
        <v>2240</v>
      </c>
      <c r="E730" s="2">
        <v>2021</v>
      </c>
      <c r="F730" s="3" t="s">
        <v>2241</v>
      </c>
      <c r="G730" s="2" t="s">
        <v>12</v>
      </c>
      <c r="H730" s="3" t="s">
        <v>1613</v>
      </c>
      <c r="I730" s="10" t="str">
        <f>HYPERLINK("http://dx.doi.org/10.1016/j.bioorg.2020.104612","http://dx.doi.org/10.1016/j.bioorg.2020.104612")</f>
        <v>http://dx.doi.org/10.1016/j.bioorg.2020.104612</v>
      </c>
    </row>
    <row r="731" spans="1:9" ht="75" x14ac:dyDescent="0.25">
      <c r="A731" s="2">
        <v>728</v>
      </c>
      <c r="B731" s="3" t="s">
        <v>2242</v>
      </c>
      <c r="C731" s="3" t="s">
        <v>2243</v>
      </c>
      <c r="D731" s="3" t="s">
        <v>2244</v>
      </c>
      <c r="E731" s="2">
        <v>2018</v>
      </c>
      <c r="F731" s="3" t="s">
        <v>261</v>
      </c>
      <c r="G731" s="2" t="s">
        <v>12</v>
      </c>
      <c r="H731" s="3" t="s">
        <v>525</v>
      </c>
      <c r="I731" s="10" t="str">
        <f>HYPERLINK("http://dx.doi.org/10.1063/1.5032528","http://dx.doi.org/10.1063/1.5032528")</f>
        <v>http://dx.doi.org/10.1063/1.5032528</v>
      </c>
    </row>
    <row r="732" spans="1:9" ht="60" x14ac:dyDescent="0.25">
      <c r="A732" s="2">
        <v>729</v>
      </c>
      <c r="B732" s="3" t="s">
        <v>2245</v>
      </c>
      <c r="C732" s="3" t="s">
        <v>2246</v>
      </c>
      <c r="D732" s="3" t="s">
        <v>2247</v>
      </c>
      <c r="E732" s="2">
        <v>2018</v>
      </c>
      <c r="F732" s="3" t="s">
        <v>2128</v>
      </c>
      <c r="G732" s="2" t="s">
        <v>12</v>
      </c>
      <c r="H732" s="3" t="s">
        <v>525</v>
      </c>
      <c r="I732" s="10" t="str">
        <f>HYPERLINK("http://dx.doi.org/10.1063/1.5028698","http://dx.doi.org/10.1063/1.5028698")</f>
        <v>http://dx.doi.org/10.1063/1.5028698</v>
      </c>
    </row>
    <row r="733" spans="1:9" ht="90" x14ac:dyDescent="0.25">
      <c r="A733" s="2">
        <v>730</v>
      </c>
      <c r="B733" s="3" t="s">
        <v>2248</v>
      </c>
      <c r="C733" s="3" t="s">
        <v>1413</v>
      </c>
      <c r="D733" s="3" t="s">
        <v>2249</v>
      </c>
      <c r="E733" s="2">
        <v>2022</v>
      </c>
      <c r="F733" s="3" t="s">
        <v>1180</v>
      </c>
      <c r="G733" s="2" t="s">
        <v>12</v>
      </c>
      <c r="H733" s="3" t="s">
        <v>48</v>
      </c>
      <c r="I733" s="10" t="str">
        <f>HYPERLINK("http://dx.doi.org/10.1007/s10854-021-06969-1","http://dx.doi.org/10.1007/s10854-021-06969-1")</f>
        <v>http://dx.doi.org/10.1007/s10854-021-06969-1</v>
      </c>
    </row>
    <row r="734" spans="1:9" ht="75" x14ac:dyDescent="0.25">
      <c r="A734" s="2">
        <v>731</v>
      </c>
      <c r="B734" s="3" t="s">
        <v>2250</v>
      </c>
      <c r="C734" s="3" t="s">
        <v>2251</v>
      </c>
      <c r="D734" s="3" t="s">
        <v>2252</v>
      </c>
      <c r="E734" s="2">
        <v>2019</v>
      </c>
      <c r="F734" s="3" t="s">
        <v>261</v>
      </c>
      <c r="G734" s="2" t="s">
        <v>12</v>
      </c>
      <c r="H734" s="3" t="s">
        <v>2253</v>
      </c>
      <c r="I734" s="11" t="s">
        <v>2254</v>
      </c>
    </row>
    <row r="735" spans="1:9" ht="120" x14ac:dyDescent="0.25">
      <c r="A735" s="2">
        <v>732</v>
      </c>
      <c r="B735" s="3" t="s">
        <v>2255</v>
      </c>
      <c r="C735" s="3" t="s">
        <v>2256</v>
      </c>
      <c r="D735" s="3" t="s">
        <v>2257</v>
      </c>
      <c r="E735" s="2">
        <v>2019</v>
      </c>
      <c r="F735" s="3" t="s">
        <v>2258</v>
      </c>
      <c r="G735" s="2" t="s">
        <v>12</v>
      </c>
      <c r="H735" s="3" t="s">
        <v>67</v>
      </c>
      <c r="I735" s="10" t="str">
        <f>HYPERLINK("http://dx.doi.org/10.1002/jhet.3464","http://dx.doi.org/10.1002/jhet.3464")</f>
        <v>http://dx.doi.org/10.1002/jhet.3464</v>
      </c>
    </row>
    <row r="736" spans="1:9" ht="45" x14ac:dyDescent="0.25">
      <c r="A736" s="2">
        <v>733</v>
      </c>
      <c r="B736" s="3" t="s">
        <v>2259</v>
      </c>
      <c r="C736" s="3" t="s">
        <v>1390</v>
      </c>
      <c r="D736" s="3" t="s">
        <v>2260</v>
      </c>
      <c r="E736" s="2">
        <v>2018</v>
      </c>
      <c r="F736" s="3" t="s">
        <v>261</v>
      </c>
      <c r="G736" s="2" t="s">
        <v>12</v>
      </c>
      <c r="H736" s="3" t="s">
        <v>2206</v>
      </c>
      <c r="I736" s="10" t="str">
        <f>HYPERLINK("http://dx.doi.org/10.1088/1674-4527/18/6/72","http://dx.doi.org/10.1088/1674-4527/18/6/72")</f>
        <v>http://dx.doi.org/10.1088/1674-4527/18/6/72</v>
      </c>
    </row>
    <row r="737" spans="1:9" ht="45" x14ac:dyDescent="0.25">
      <c r="A737" s="2">
        <v>734</v>
      </c>
      <c r="B737" s="3" t="s">
        <v>2261</v>
      </c>
      <c r="C737" s="3" t="s">
        <v>2262</v>
      </c>
      <c r="D737" s="3" t="s">
        <v>2263</v>
      </c>
      <c r="E737" s="2">
        <v>2023</v>
      </c>
      <c r="F737" s="3" t="s">
        <v>2264</v>
      </c>
      <c r="G737" s="2" t="s">
        <v>12</v>
      </c>
      <c r="H737" s="3" t="s">
        <v>2265</v>
      </c>
      <c r="I737" s="10" t="s">
        <v>2266</v>
      </c>
    </row>
    <row r="738" spans="1:9" ht="45" x14ac:dyDescent="0.25">
      <c r="A738" s="2">
        <v>735</v>
      </c>
      <c r="B738" s="3" t="s">
        <v>2267</v>
      </c>
      <c r="C738" s="3" t="s">
        <v>961</v>
      </c>
      <c r="D738" s="3" t="s">
        <v>2268</v>
      </c>
      <c r="E738" s="2">
        <v>2020</v>
      </c>
      <c r="F738" s="3" t="s">
        <v>2269</v>
      </c>
      <c r="G738" s="2" t="s">
        <v>12</v>
      </c>
      <c r="H738" s="3" t="s">
        <v>18</v>
      </c>
      <c r="I738" s="10" t="str">
        <f>HYPERLINK("http://dx.doi.org/10.1007/978-3-030-16848-3_91","http://dx.doi.org/10.1007/978-3-030-16848-3_91")</f>
        <v>http://dx.doi.org/10.1007/978-3-030-16848-3_91</v>
      </c>
    </row>
    <row r="739" spans="1:9" ht="60" x14ac:dyDescent="0.25">
      <c r="A739" s="2">
        <v>736</v>
      </c>
      <c r="B739" s="3" t="s">
        <v>2270</v>
      </c>
      <c r="C739" s="3" t="s">
        <v>1413</v>
      </c>
      <c r="D739" s="3" t="s">
        <v>2271</v>
      </c>
      <c r="E739" s="2">
        <v>2020</v>
      </c>
      <c r="F739" s="3" t="s">
        <v>2272</v>
      </c>
      <c r="G739" s="2" t="s">
        <v>12</v>
      </c>
      <c r="H739" s="3" t="s">
        <v>2273</v>
      </c>
      <c r="I739" s="10" t="str">
        <f>HYPERLINK("http://dx.doi.org/10.5735/085.057.0411","http://dx.doi.org/10.5735/085.057.0411")</f>
        <v>http://dx.doi.org/10.5735/085.057.0411</v>
      </c>
    </row>
    <row r="740" spans="1:9" ht="90" x14ac:dyDescent="0.25">
      <c r="A740" s="2">
        <v>737</v>
      </c>
      <c r="B740" s="3" t="s">
        <v>2274</v>
      </c>
      <c r="C740" s="3" t="s">
        <v>2275</v>
      </c>
      <c r="D740" s="3" t="s">
        <v>2276</v>
      </c>
      <c r="E740" s="2">
        <v>2020</v>
      </c>
      <c r="F740" s="3" t="s">
        <v>261</v>
      </c>
      <c r="G740" s="2" t="s">
        <v>12</v>
      </c>
      <c r="H740" s="3" t="s">
        <v>1202</v>
      </c>
      <c r="I740" s="10" t="str">
        <f>HYPERLINK("http://dx.doi.org/10.1016/j.jallcom.2019.153501","http://dx.doi.org/10.1016/j.jallcom.2019.153501")</f>
        <v>http://dx.doi.org/10.1016/j.jallcom.2019.153501</v>
      </c>
    </row>
    <row r="741" spans="1:9" ht="75" x14ac:dyDescent="0.25">
      <c r="A741" s="2">
        <v>738</v>
      </c>
      <c r="B741" s="3" t="s">
        <v>1492</v>
      </c>
      <c r="C741" s="3" t="s">
        <v>2277</v>
      </c>
      <c r="D741" s="3" t="s">
        <v>2278</v>
      </c>
      <c r="E741" s="2">
        <v>2019</v>
      </c>
      <c r="F741" s="3" t="s">
        <v>236</v>
      </c>
      <c r="G741" s="2" t="s">
        <v>12</v>
      </c>
      <c r="H741" s="3" t="s">
        <v>84</v>
      </c>
      <c r="I741" s="10" t="str">
        <f>HYPERLINK("http://dx.doi.org/10.1142/S0217979219500103","http://dx.doi.org/10.1142/S0217979219500103")</f>
        <v>http://dx.doi.org/10.1142/S0217979219500103</v>
      </c>
    </row>
    <row r="742" spans="1:9" ht="105" x14ac:dyDescent="0.25">
      <c r="A742" s="2">
        <v>739</v>
      </c>
      <c r="B742" s="3" t="s">
        <v>2279</v>
      </c>
      <c r="C742" s="3" t="s">
        <v>2280</v>
      </c>
      <c r="D742" s="3" t="s">
        <v>2281</v>
      </c>
      <c r="E742" s="2">
        <v>2021</v>
      </c>
      <c r="F742" s="3" t="s">
        <v>837</v>
      </c>
      <c r="G742" s="2" t="s">
        <v>12</v>
      </c>
      <c r="H742" s="3" t="s">
        <v>277</v>
      </c>
      <c r="I742" s="10" t="str">
        <f>HYPERLINK("http://dx.doi.org/10.1016/j.molstruc.2020.128836","http://dx.doi.org/10.1016/j.molstruc.2020.128836")</f>
        <v>http://dx.doi.org/10.1016/j.molstruc.2020.128836</v>
      </c>
    </row>
    <row r="743" spans="1:9" ht="90" x14ac:dyDescent="0.25">
      <c r="A743" s="2">
        <v>740</v>
      </c>
      <c r="B743" s="3" t="s">
        <v>2282</v>
      </c>
      <c r="C743" s="3" t="s">
        <v>1919</v>
      </c>
      <c r="D743" s="3" t="s">
        <v>2283</v>
      </c>
      <c r="E743" s="2">
        <v>2020</v>
      </c>
      <c r="F743" s="3" t="s">
        <v>1869</v>
      </c>
      <c r="G743" s="2" t="s">
        <v>12</v>
      </c>
      <c r="H743" s="3" t="s">
        <v>181</v>
      </c>
      <c r="I743" s="10" t="str">
        <f>HYPERLINK("http://dx.doi.org/10.1016/j.bmcl.2020.127246","http://dx.doi.org/10.1016/j.bmcl.2020.127246")</f>
        <v>http://dx.doi.org/10.1016/j.bmcl.2020.127246</v>
      </c>
    </row>
    <row r="744" spans="1:9" ht="90" x14ac:dyDescent="0.25">
      <c r="A744" s="2">
        <v>741</v>
      </c>
      <c r="B744" s="3" t="s">
        <v>2284</v>
      </c>
      <c r="C744" s="3" t="s">
        <v>2285</v>
      </c>
      <c r="D744" s="3" t="s">
        <v>2286</v>
      </c>
      <c r="E744" s="2">
        <v>2022</v>
      </c>
      <c r="F744" s="3" t="s">
        <v>27</v>
      </c>
      <c r="G744" s="2" t="s">
        <v>12</v>
      </c>
      <c r="H744" s="3" t="s">
        <v>91</v>
      </c>
      <c r="I744" s="10" t="str">
        <f>HYPERLINK("http://dx.doi.org/10.1080/10406638.2020.1852288","http://dx.doi.org/10.1080/10406638.2020.1852288")</f>
        <v>http://dx.doi.org/10.1080/10406638.2020.1852288</v>
      </c>
    </row>
    <row r="745" spans="1:9" ht="105" x14ac:dyDescent="0.25">
      <c r="A745" s="2">
        <v>742</v>
      </c>
      <c r="B745" s="3" t="s">
        <v>2287</v>
      </c>
      <c r="C745" s="3" t="s">
        <v>925</v>
      </c>
      <c r="D745" s="3" t="s">
        <v>2288</v>
      </c>
      <c r="E745" s="2">
        <v>2018</v>
      </c>
      <c r="F745" s="3" t="s">
        <v>2289</v>
      </c>
      <c r="G745" s="2" t="s">
        <v>12</v>
      </c>
      <c r="H745" s="3" t="s">
        <v>1637</v>
      </c>
      <c r="I745" s="10" t="str">
        <f>HYPERLINK("http://dx.doi.org/10.1088/2053-1591/aaccb3","http://dx.doi.org/10.1088/2053-1591/aaccb3")</f>
        <v>http://dx.doi.org/10.1088/2053-1591/aaccb3</v>
      </c>
    </row>
    <row r="746" spans="1:9" ht="90" x14ac:dyDescent="0.25">
      <c r="A746" s="2">
        <v>743</v>
      </c>
      <c r="B746" s="3" t="s">
        <v>2290</v>
      </c>
      <c r="C746" s="3" t="s">
        <v>2291</v>
      </c>
      <c r="D746" s="3" t="s">
        <v>2292</v>
      </c>
      <c r="E746" s="2">
        <v>2022</v>
      </c>
      <c r="F746" s="3" t="s">
        <v>1054</v>
      </c>
      <c r="G746" s="2" t="s">
        <v>12</v>
      </c>
      <c r="H746" s="3" t="s">
        <v>799</v>
      </c>
      <c r="I746" s="10" t="str">
        <f>HYPERLINK("http://dx.doi.org/10.3390/electronics11182865","http://dx.doi.org/10.3390/electronics11182865")</f>
        <v>http://dx.doi.org/10.3390/electronics11182865</v>
      </c>
    </row>
    <row r="747" spans="1:9" ht="120" x14ac:dyDescent="0.25">
      <c r="A747" s="2">
        <v>744</v>
      </c>
      <c r="B747" s="3" t="s">
        <v>2293</v>
      </c>
      <c r="C747" s="3" t="s">
        <v>1413</v>
      </c>
      <c r="D747" s="3" t="s">
        <v>2294</v>
      </c>
      <c r="E747" s="2">
        <v>2023</v>
      </c>
      <c r="F747" s="3" t="s">
        <v>261</v>
      </c>
      <c r="G747" s="2" t="s">
        <v>12</v>
      </c>
      <c r="H747" s="3" t="s">
        <v>91</v>
      </c>
      <c r="I747" s="10" t="str">
        <f>HYPERLINK("http://dx.doi.org/10.1080/10406638.2022.2089173","http://dx.doi.org/10.1080/10406638.2022.2089173")</f>
        <v>http://dx.doi.org/10.1080/10406638.2022.2089173</v>
      </c>
    </row>
    <row r="748" spans="1:9" ht="90" x14ac:dyDescent="0.25">
      <c r="A748" s="2">
        <v>745</v>
      </c>
      <c r="B748" s="3" t="s">
        <v>2295</v>
      </c>
      <c r="C748" s="3" t="s">
        <v>2296</v>
      </c>
      <c r="D748" s="3" t="s">
        <v>2297</v>
      </c>
      <c r="E748" s="2">
        <v>2020</v>
      </c>
      <c r="F748" s="3" t="s">
        <v>704</v>
      </c>
      <c r="G748" s="2" t="s">
        <v>12</v>
      </c>
      <c r="H748" s="3" t="s">
        <v>23</v>
      </c>
      <c r="I748" s="10" t="str">
        <f>HYPERLINK("http://dx.doi.org/10.1002/ardp.202000164","http://dx.doi.org/10.1002/ardp.202000164")</f>
        <v>http://dx.doi.org/10.1002/ardp.202000164</v>
      </c>
    </row>
    <row r="749" spans="1:9" ht="90" x14ac:dyDescent="0.25">
      <c r="A749" s="2">
        <v>746</v>
      </c>
      <c r="B749" s="3" t="s">
        <v>2298</v>
      </c>
      <c r="C749" s="3" t="s">
        <v>2299</v>
      </c>
      <c r="D749" s="3" t="s">
        <v>2300</v>
      </c>
      <c r="E749" s="2">
        <v>2018</v>
      </c>
      <c r="F749" s="3" t="s">
        <v>559</v>
      </c>
      <c r="G749" s="2" t="s">
        <v>12</v>
      </c>
      <c r="H749" s="3" t="s">
        <v>966</v>
      </c>
      <c r="I749" s="12" t="s">
        <v>3204</v>
      </c>
    </row>
    <row r="750" spans="1:9" ht="60" x14ac:dyDescent="0.25">
      <c r="A750" s="2">
        <v>747</v>
      </c>
      <c r="B750" s="3" t="s">
        <v>2301</v>
      </c>
      <c r="C750" s="3" t="s">
        <v>2302</v>
      </c>
      <c r="D750" s="3" t="s">
        <v>2303</v>
      </c>
      <c r="E750" s="2">
        <v>2022</v>
      </c>
      <c r="F750" s="3" t="s">
        <v>331</v>
      </c>
      <c r="G750" s="2" t="s">
        <v>12</v>
      </c>
      <c r="H750" s="3" t="s">
        <v>2304</v>
      </c>
      <c r="I750" s="10" t="str">
        <f>HYPERLINK("http://dx.doi.org/10.1038/s41597-022-01530-z","http://dx.doi.org/10.1038/s41597-022-01530-z")</f>
        <v>http://dx.doi.org/10.1038/s41597-022-01530-z</v>
      </c>
    </row>
    <row r="751" spans="1:9" ht="90" x14ac:dyDescent="0.25">
      <c r="A751" s="2">
        <v>748</v>
      </c>
      <c r="B751" s="3" t="s">
        <v>2305</v>
      </c>
      <c r="C751" s="3" t="s">
        <v>81</v>
      </c>
      <c r="D751" s="3" t="s">
        <v>2306</v>
      </c>
      <c r="E751" s="2">
        <v>2020</v>
      </c>
      <c r="F751" s="3" t="s">
        <v>2307</v>
      </c>
      <c r="G751" s="2" t="s">
        <v>12</v>
      </c>
      <c r="H751" s="3" t="s">
        <v>58</v>
      </c>
      <c r="I751" s="10" t="str">
        <f>HYPERLINK("http://dx.doi.org/10.1039/d0ma00251h","http://dx.doi.org/10.1039/d0ma00251h")</f>
        <v>http://dx.doi.org/10.1039/d0ma00251h</v>
      </c>
    </row>
    <row r="752" spans="1:9" ht="75" x14ac:dyDescent="0.25">
      <c r="A752" s="2">
        <v>749</v>
      </c>
      <c r="B752" s="3" t="s">
        <v>2308</v>
      </c>
      <c r="C752" s="3" t="s">
        <v>2309</v>
      </c>
      <c r="D752" s="3" t="s">
        <v>2310</v>
      </c>
      <c r="E752" s="2">
        <v>2020</v>
      </c>
      <c r="F752" s="3" t="s">
        <v>2311</v>
      </c>
      <c r="G752" s="2" t="s">
        <v>12</v>
      </c>
      <c r="H752" s="3" t="s">
        <v>205</v>
      </c>
      <c r="I752" s="10" t="str">
        <f>HYPERLINK("http://dx.doi.org/10.1080/00397911.2019.1695275","http://dx.doi.org/10.1080/00397911.2019.1695275")</f>
        <v>http://dx.doi.org/10.1080/00397911.2019.1695275</v>
      </c>
    </row>
    <row r="753" spans="1:9" ht="60" x14ac:dyDescent="0.25">
      <c r="A753" s="2">
        <v>750</v>
      </c>
      <c r="B753" s="3" t="s">
        <v>2312</v>
      </c>
      <c r="C753" s="3" t="s">
        <v>60</v>
      </c>
      <c r="D753" s="3" t="s">
        <v>2313</v>
      </c>
      <c r="E753" s="2">
        <v>2021</v>
      </c>
      <c r="F753" s="3" t="s">
        <v>1349</v>
      </c>
      <c r="G753" s="2" t="s">
        <v>12</v>
      </c>
      <c r="H753" s="3" t="s">
        <v>2314</v>
      </c>
      <c r="I753" s="10" t="str">
        <f>HYPERLINK("http://dx.doi.org/10.21511/im.17(1).2021.04","http://dx.doi.org/10.21511/im.17(1).2021.04")</f>
        <v>http://dx.doi.org/10.21511/im.17(1).2021.04</v>
      </c>
    </row>
    <row r="754" spans="1:9" ht="75" x14ac:dyDescent="0.25">
      <c r="A754" s="2">
        <v>751</v>
      </c>
      <c r="B754" s="3" t="s">
        <v>2315</v>
      </c>
      <c r="C754" s="3" t="s">
        <v>211</v>
      </c>
      <c r="D754" s="3" t="s">
        <v>2316</v>
      </c>
      <c r="E754" s="2">
        <v>2019</v>
      </c>
      <c r="F754" s="3" t="s">
        <v>2317</v>
      </c>
      <c r="G754" s="2" t="s">
        <v>12</v>
      </c>
      <c r="H754" s="3" t="s">
        <v>525</v>
      </c>
      <c r="I754" s="10" t="str">
        <f>HYPERLINK("http://dx.doi.org/10.1063/1.5122455","http://dx.doi.org/10.1063/1.5122455")</f>
        <v>http://dx.doi.org/10.1063/1.5122455</v>
      </c>
    </row>
    <row r="755" spans="1:9" ht="90" x14ac:dyDescent="0.25">
      <c r="A755" s="2">
        <v>752</v>
      </c>
      <c r="B755" s="3" t="s">
        <v>2318</v>
      </c>
      <c r="C755" s="3" t="s">
        <v>2319</v>
      </c>
      <c r="D755" s="3" t="s">
        <v>2320</v>
      </c>
      <c r="E755" s="2">
        <v>2018</v>
      </c>
      <c r="F755" s="3" t="s">
        <v>1900</v>
      </c>
      <c r="G755" s="2" t="s">
        <v>12</v>
      </c>
      <c r="H755" s="3" t="s">
        <v>23</v>
      </c>
      <c r="I755" s="10" t="str">
        <f>HYPERLINK("http://dx.doi.org/10.1002/slct.201801859","http://dx.doi.org/10.1002/slct.201801859")</f>
        <v>http://dx.doi.org/10.1002/slct.201801859</v>
      </c>
    </row>
    <row r="756" spans="1:9" ht="90" x14ac:dyDescent="0.25">
      <c r="A756" s="2">
        <v>753</v>
      </c>
      <c r="B756" s="3" t="s">
        <v>2287</v>
      </c>
      <c r="C756" s="3" t="s">
        <v>2321</v>
      </c>
      <c r="D756" s="3" t="s">
        <v>2322</v>
      </c>
      <c r="E756" s="2">
        <v>2018</v>
      </c>
      <c r="F756" s="3" t="s">
        <v>955</v>
      </c>
      <c r="G756" s="2" t="s">
        <v>12</v>
      </c>
      <c r="H756" s="3" t="s">
        <v>48</v>
      </c>
      <c r="I756" s="10" t="str">
        <f>HYPERLINK("http://dx.doi.org/10.1007/s00339-018-1901-1","http://dx.doi.org/10.1007/s00339-018-1901-1")</f>
        <v>http://dx.doi.org/10.1007/s00339-018-1901-1</v>
      </c>
    </row>
    <row r="757" spans="1:9" ht="90" x14ac:dyDescent="0.25">
      <c r="A757" s="2">
        <v>754</v>
      </c>
      <c r="B757" s="3" t="s">
        <v>2323</v>
      </c>
      <c r="C757" s="3" t="s">
        <v>2324</v>
      </c>
      <c r="D757" s="3" t="s">
        <v>2325</v>
      </c>
      <c r="E757" s="2">
        <v>2021</v>
      </c>
      <c r="F757" s="3" t="s">
        <v>1507</v>
      </c>
      <c r="G757" s="2" t="s">
        <v>12</v>
      </c>
      <c r="H757" s="3" t="s">
        <v>799</v>
      </c>
      <c r="I757" s="10" t="str">
        <f>HYPERLINK("http://dx.doi.org/10.3390/axioms10030228","http://dx.doi.org/10.3390/axioms10030228")</f>
        <v>http://dx.doi.org/10.3390/axioms10030228</v>
      </c>
    </row>
    <row r="758" spans="1:9" ht="75" x14ac:dyDescent="0.25">
      <c r="A758" s="2">
        <v>755</v>
      </c>
      <c r="B758" s="3" t="s">
        <v>2326</v>
      </c>
      <c r="C758" s="3" t="s">
        <v>1689</v>
      </c>
      <c r="D758" s="3" t="s">
        <v>2327</v>
      </c>
      <c r="E758" s="2">
        <v>2020</v>
      </c>
      <c r="F758" s="3" t="s">
        <v>1097</v>
      </c>
      <c r="G758" s="2" t="s">
        <v>12</v>
      </c>
      <c r="H758" s="3" t="s">
        <v>91</v>
      </c>
      <c r="I758" s="10" t="str">
        <f>HYPERLINK("http://dx.doi.org/10.1080/10426507.2020.1860984","http://dx.doi.org/10.1080/10426507.2020.1860984")</f>
        <v>http://dx.doi.org/10.1080/10426507.2020.1860984</v>
      </c>
    </row>
    <row r="759" spans="1:9" ht="60" x14ac:dyDescent="0.25">
      <c r="A759" s="2">
        <v>756</v>
      </c>
      <c r="B759" s="3" t="s">
        <v>2328</v>
      </c>
      <c r="C759" s="3" t="s">
        <v>2204</v>
      </c>
      <c r="D759" s="3" t="s">
        <v>2329</v>
      </c>
      <c r="E759" s="2">
        <v>2020</v>
      </c>
      <c r="F759" s="3" t="s">
        <v>1886</v>
      </c>
      <c r="G759" s="2" t="s">
        <v>12</v>
      </c>
      <c r="H759" s="3" t="s">
        <v>1202</v>
      </c>
      <c r="I759" s="10" t="str">
        <f>HYPERLINK("http://dx.doi.org/10.1016/j.jallcom.2020.154641","http://dx.doi.org/10.1016/j.jallcom.2020.154641")</f>
        <v>http://dx.doi.org/10.1016/j.jallcom.2020.154641</v>
      </c>
    </row>
    <row r="760" spans="1:9" ht="75" x14ac:dyDescent="0.25">
      <c r="A760" s="2">
        <v>757</v>
      </c>
      <c r="B760" s="3" t="s">
        <v>2330</v>
      </c>
      <c r="C760" s="3" t="s">
        <v>2331</v>
      </c>
      <c r="D760" s="3" t="s">
        <v>2332</v>
      </c>
      <c r="E760" s="2">
        <v>2020</v>
      </c>
      <c r="F760" s="3" t="s">
        <v>230</v>
      </c>
      <c r="G760" s="2" t="s">
        <v>12</v>
      </c>
      <c r="H760" s="3" t="s">
        <v>2333</v>
      </c>
      <c r="I760" s="11" t="s">
        <v>2334</v>
      </c>
    </row>
    <row r="761" spans="1:9" ht="90" x14ac:dyDescent="0.25">
      <c r="A761" s="2">
        <v>758</v>
      </c>
      <c r="B761" s="3" t="s">
        <v>2335</v>
      </c>
      <c r="C761" s="3" t="s">
        <v>1744</v>
      </c>
      <c r="D761" s="3" t="s">
        <v>2336</v>
      </c>
      <c r="E761" s="2">
        <v>2023</v>
      </c>
      <c r="F761" s="3" t="s">
        <v>582</v>
      </c>
      <c r="G761" s="2" t="s">
        <v>12</v>
      </c>
      <c r="H761" s="3" t="s">
        <v>1027</v>
      </c>
      <c r="I761" s="10" t="str">
        <f>HYPERLINK("http://dx.doi.org/10.18520/cs/v125/i8/853-864","http://dx.doi.org/10.18520/cs/v125/i8/853-864")</f>
        <v>http://dx.doi.org/10.18520/cs/v125/i8/853-864</v>
      </c>
    </row>
    <row r="762" spans="1:9" ht="105" x14ac:dyDescent="0.25">
      <c r="A762" s="2">
        <v>759</v>
      </c>
      <c r="B762" s="3" t="s">
        <v>2337</v>
      </c>
      <c r="C762" s="3" t="s">
        <v>171</v>
      </c>
      <c r="D762" s="3" t="s">
        <v>2338</v>
      </c>
      <c r="E762" s="2">
        <v>2022</v>
      </c>
      <c r="F762" s="3" t="s">
        <v>704</v>
      </c>
      <c r="G762" s="2" t="s">
        <v>12</v>
      </c>
      <c r="H762" s="3" t="s">
        <v>48</v>
      </c>
      <c r="I762" s="10" t="str">
        <f>HYPERLINK("http://dx.doi.org/10.1007/s11164-021-04639-9","http://dx.doi.org/10.1007/s11164-021-04639-9")</f>
        <v>http://dx.doi.org/10.1007/s11164-021-04639-9</v>
      </c>
    </row>
    <row r="763" spans="1:9" ht="90" x14ac:dyDescent="0.25">
      <c r="A763" s="2">
        <v>760</v>
      </c>
      <c r="B763" s="3" t="s">
        <v>2339</v>
      </c>
      <c r="C763" s="3" t="s">
        <v>1271</v>
      </c>
      <c r="D763" s="3" t="s">
        <v>2340</v>
      </c>
      <c r="E763" s="2">
        <v>2020</v>
      </c>
      <c r="F763" s="3" t="s">
        <v>1301</v>
      </c>
      <c r="G763" s="2" t="s">
        <v>12</v>
      </c>
      <c r="H763" s="3" t="s">
        <v>2341</v>
      </c>
      <c r="I763" s="10" t="str">
        <f>HYPERLINK("http://dx.doi.org/10.1007/s10528-020-09963-0","http://dx.doi.org/10.1007/s10528-020-09963-0")</f>
        <v>http://dx.doi.org/10.1007/s10528-020-09963-0</v>
      </c>
    </row>
    <row r="764" spans="1:9" ht="60" x14ac:dyDescent="0.25">
      <c r="A764" s="2">
        <v>761</v>
      </c>
      <c r="B764" s="3" t="s">
        <v>2342</v>
      </c>
      <c r="C764" s="3" t="s">
        <v>2343</v>
      </c>
      <c r="D764" s="3" t="s">
        <v>2344</v>
      </c>
      <c r="E764" s="2">
        <v>2023</v>
      </c>
      <c r="F764" s="3" t="s">
        <v>2345</v>
      </c>
      <c r="G764" s="2" t="s">
        <v>12</v>
      </c>
      <c r="H764" s="3" t="s">
        <v>698</v>
      </c>
      <c r="I764" s="10" t="str">
        <f>HYPERLINK("http://dx.doi.org/10.1134/S1068162023080071","http://dx.doi.org/10.1134/S1068162023080071")</f>
        <v>http://dx.doi.org/10.1134/S1068162023080071</v>
      </c>
    </row>
    <row r="765" spans="1:9" ht="75" x14ac:dyDescent="0.25">
      <c r="A765" s="2">
        <v>762</v>
      </c>
      <c r="B765" s="3" t="s">
        <v>2346</v>
      </c>
      <c r="C765" s="3" t="s">
        <v>2347</v>
      </c>
      <c r="D765" s="3" t="s">
        <v>2348</v>
      </c>
      <c r="E765" s="2">
        <v>2024</v>
      </c>
      <c r="F765" s="3" t="s">
        <v>1422</v>
      </c>
      <c r="G765" s="2" t="s">
        <v>12</v>
      </c>
      <c r="H765" s="3" t="s">
        <v>205</v>
      </c>
      <c r="I765" s="10" t="str">
        <f>HYPERLINK("http://dx.doi.org/10.1080/00304948.2023.2238097","http://dx.doi.org/10.1080/00304948.2023.2238097")</f>
        <v>http://dx.doi.org/10.1080/00304948.2023.2238097</v>
      </c>
    </row>
    <row r="766" spans="1:9" ht="75" x14ac:dyDescent="0.25">
      <c r="A766" s="2">
        <v>763</v>
      </c>
      <c r="B766" s="3" t="s">
        <v>2349</v>
      </c>
      <c r="C766" s="3" t="s">
        <v>2350</v>
      </c>
      <c r="D766" s="3" t="s">
        <v>2351</v>
      </c>
      <c r="E766" s="2">
        <v>2022</v>
      </c>
      <c r="F766" s="3" t="s">
        <v>2352</v>
      </c>
      <c r="G766" s="2" t="s">
        <v>12</v>
      </c>
      <c r="H766" s="3" t="s">
        <v>799</v>
      </c>
      <c r="I766" s="10" t="str">
        <f>HYPERLINK("http://dx.doi.org/10.3390/axioms11090482","http://dx.doi.org/10.3390/axioms11090482")</f>
        <v>http://dx.doi.org/10.3390/axioms11090482</v>
      </c>
    </row>
    <row r="767" spans="1:9" ht="105" x14ac:dyDescent="0.25">
      <c r="A767" s="2">
        <v>764</v>
      </c>
      <c r="B767" s="3" t="s">
        <v>2353</v>
      </c>
      <c r="C767" s="3" t="s">
        <v>2354</v>
      </c>
      <c r="D767" s="3" t="s">
        <v>2355</v>
      </c>
      <c r="E767" s="2">
        <v>2022</v>
      </c>
      <c r="F767" s="3" t="s">
        <v>32</v>
      </c>
      <c r="G767" s="2" t="s">
        <v>12</v>
      </c>
      <c r="H767" s="3" t="s">
        <v>2170</v>
      </c>
      <c r="I767" s="10" t="str">
        <f>HYPERLINK("http://dx.doi.org/10.1111/jfpp.16244","http://dx.doi.org/10.1111/jfpp.16244")</f>
        <v>http://dx.doi.org/10.1111/jfpp.16244</v>
      </c>
    </row>
    <row r="768" spans="1:9" ht="90" x14ac:dyDescent="0.25">
      <c r="A768" s="2">
        <v>765</v>
      </c>
      <c r="B768" s="3" t="s">
        <v>2356</v>
      </c>
      <c r="C768" s="3" t="s">
        <v>1532</v>
      </c>
      <c r="D768" s="3" t="s">
        <v>2357</v>
      </c>
      <c r="E768" s="2">
        <v>2020</v>
      </c>
      <c r="F768" s="3" t="s">
        <v>847</v>
      </c>
      <c r="G768" s="2" t="s">
        <v>12</v>
      </c>
      <c r="H768" s="3" t="s">
        <v>23</v>
      </c>
      <c r="I768" s="10" t="str">
        <f>HYPERLINK("http://dx.doi.org/10.1002/masy.201900212","http://dx.doi.org/10.1002/masy.201900212")</f>
        <v>http://dx.doi.org/10.1002/masy.201900212</v>
      </c>
    </row>
    <row r="769" spans="1:9" ht="90" x14ac:dyDescent="0.25">
      <c r="A769" s="2">
        <v>766</v>
      </c>
      <c r="B769" s="3" t="s">
        <v>2358</v>
      </c>
      <c r="C769" s="3" t="s">
        <v>890</v>
      </c>
      <c r="D769" s="3" t="s">
        <v>2359</v>
      </c>
      <c r="E769" s="2">
        <v>2022</v>
      </c>
      <c r="F769" s="3" t="s">
        <v>1097</v>
      </c>
      <c r="G769" s="2" t="s">
        <v>12</v>
      </c>
      <c r="H769" s="3" t="s">
        <v>439</v>
      </c>
      <c r="I769" s="10" t="str">
        <f>HYPERLINK("http://dx.doi.org/10.1007/s00339-022-05757-w","http://dx.doi.org/10.1007/s00339-022-05757-w")</f>
        <v>http://dx.doi.org/10.1007/s00339-022-05757-w</v>
      </c>
    </row>
    <row r="770" spans="1:9" ht="75" x14ac:dyDescent="0.25">
      <c r="A770" s="2">
        <v>767</v>
      </c>
      <c r="B770" s="3" t="s">
        <v>2360</v>
      </c>
      <c r="C770" s="3" t="s">
        <v>1931</v>
      </c>
      <c r="D770" s="3" t="s">
        <v>2361</v>
      </c>
      <c r="E770" s="2">
        <v>2019</v>
      </c>
      <c r="F770" s="3" t="s">
        <v>2362</v>
      </c>
      <c r="G770" s="2" t="s">
        <v>12</v>
      </c>
      <c r="H770" s="3" t="s">
        <v>23</v>
      </c>
      <c r="I770" s="10" t="str">
        <f>HYPERLINK("http://dx.doi.org/10.1002/masy.201800238","http://dx.doi.org/10.1002/masy.201800238")</f>
        <v>http://dx.doi.org/10.1002/masy.201800238</v>
      </c>
    </row>
    <row r="771" spans="1:9" ht="75" x14ac:dyDescent="0.25">
      <c r="A771" s="2">
        <v>768</v>
      </c>
      <c r="B771" s="3" t="s">
        <v>2363</v>
      </c>
      <c r="C771" s="3" t="s">
        <v>25</v>
      </c>
      <c r="D771" s="3" t="s">
        <v>2364</v>
      </c>
      <c r="E771" s="2">
        <v>2019</v>
      </c>
      <c r="F771" s="3" t="s">
        <v>2221</v>
      </c>
      <c r="G771" s="2" t="s">
        <v>12</v>
      </c>
      <c r="H771" s="3" t="s">
        <v>747</v>
      </c>
      <c r="I771" s="10" t="str">
        <f>HYPERLINK("http://dx.doi.org/10.1016/j.foodchem.2018.08.089","http://dx.doi.org/10.1016/j.foodchem.2018.08.089")</f>
        <v>http://dx.doi.org/10.1016/j.foodchem.2018.08.089</v>
      </c>
    </row>
    <row r="772" spans="1:9" ht="90" x14ac:dyDescent="0.25">
      <c r="A772" s="2">
        <v>769</v>
      </c>
      <c r="B772" s="3" t="s">
        <v>2365</v>
      </c>
      <c r="C772" s="3" t="s">
        <v>2366</v>
      </c>
      <c r="D772" s="3" t="s">
        <v>2367</v>
      </c>
      <c r="E772" s="2">
        <v>2021</v>
      </c>
      <c r="F772" s="3" t="s">
        <v>2368</v>
      </c>
      <c r="G772" s="2" t="s">
        <v>12</v>
      </c>
      <c r="H772" s="3" t="s">
        <v>277</v>
      </c>
      <c r="I772" s="10" t="str">
        <f>HYPERLINK("http://dx.doi.org/10.1016/j.matpr.2021.04.119","http://dx.doi.org/10.1016/j.matpr.2021.04.119")</f>
        <v>http://dx.doi.org/10.1016/j.matpr.2021.04.119</v>
      </c>
    </row>
    <row r="773" spans="1:9" ht="150" x14ac:dyDescent="0.25">
      <c r="A773" s="2">
        <v>770</v>
      </c>
      <c r="B773" s="3" t="s">
        <v>2369</v>
      </c>
      <c r="C773" s="3" t="s">
        <v>1113</v>
      </c>
      <c r="D773" s="3" t="s">
        <v>2370</v>
      </c>
      <c r="E773" s="2">
        <v>2020</v>
      </c>
      <c r="F773" s="3" t="s">
        <v>2371</v>
      </c>
      <c r="G773" s="2" t="s">
        <v>12</v>
      </c>
      <c r="H773" s="3" t="s">
        <v>1637</v>
      </c>
      <c r="I773" s="10" t="str">
        <f>HYPERLINK("http://dx.doi.org/10.1088/2053-1591/abca6c","http://dx.doi.org/10.1088/2053-1591/abca6c")</f>
        <v>http://dx.doi.org/10.1088/2053-1591/abca6c</v>
      </c>
    </row>
    <row r="774" spans="1:9" ht="90" x14ac:dyDescent="0.25">
      <c r="A774" s="2">
        <v>771</v>
      </c>
      <c r="B774" s="3" t="s">
        <v>2372</v>
      </c>
      <c r="C774" s="3" t="s">
        <v>40</v>
      </c>
      <c r="D774" s="3" t="s">
        <v>2373</v>
      </c>
      <c r="E774" s="2">
        <v>2019</v>
      </c>
      <c r="F774" s="3" t="s">
        <v>559</v>
      </c>
      <c r="G774" s="2" t="s">
        <v>12</v>
      </c>
      <c r="H774" s="3" t="s">
        <v>58</v>
      </c>
      <c r="I774" s="10" t="str">
        <f>HYPERLINK("http://dx.doi.org/10.1039/c9ra03425k","http://dx.doi.org/10.1039/c9ra03425k")</f>
        <v>http://dx.doi.org/10.1039/c9ra03425k</v>
      </c>
    </row>
    <row r="775" spans="1:9" ht="105" x14ac:dyDescent="0.25">
      <c r="A775" s="2">
        <v>772</v>
      </c>
      <c r="B775" s="3" t="s">
        <v>2374</v>
      </c>
      <c r="C775" s="3" t="s">
        <v>925</v>
      </c>
      <c r="D775" s="3" t="s">
        <v>2375</v>
      </c>
      <c r="E775" s="2">
        <v>2022</v>
      </c>
      <c r="F775" s="3" t="s">
        <v>394</v>
      </c>
      <c r="G775" s="2" t="s">
        <v>12</v>
      </c>
      <c r="H775" s="3" t="s">
        <v>48</v>
      </c>
      <c r="I775" s="10" t="str">
        <f>HYPERLINK("http://dx.doi.org/10.1007/s11164-022-04852-0","http://dx.doi.org/10.1007/s11164-022-04852-0")</f>
        <v>http://dx.doi.org/10.1007/s11164-022-04852-0</v>
      </c>
    </row>
    <row r="776" spans="1:9" ht="45" x14ac:dyDescent="0.25">
      <c r="A776" s="2">
        <v>773</v>
      </c>
      <c r="B776" s="3" t="s">
        <v>2376</v>
      </c>
      <c r="C776" s="3" t="s">
        <v>81</v>
      </c>
      <c r="D776" s="3" t="s">
        <v>2377</v>
      </c>
      <c r="E776" s="2">
        <v>2020</v>
      </c>
      <c r="F776" s="3" t="s">
        <v>2378</v>
      </c>
      <c r="G776" s="2" t="s">
        <v>12</v>
      </c>
      <c r="H776" s="3" t="s">
        <v>525</v>
      </c>
      <c r="I776" s="10" t="str">
        <f>HYPERLINK("http://dx.doi.org/10.1063/5.0016614","http://dx.doi.org/10.1063/5.0016614")</f>
        <v>http://dx.doi.org/10.1063/5.0016614</v>
      </c>
    </row>
    <row r="777" spans="1:9" ht="75" x14ac:dyDescent="0.25">
      <c r="A777" s="2">
        <v>774</v>
      </c>
      <c r="B777" s="3" t="s">
        <v>2379</v>
      </c>
      <c r="C777" s="3" t="s">
        <v>362</v>
      </c>
      <c r="D777" s="3" t="s">
        <v>2380</v>
      </c>
      <c r="E777" s="2">
        <v>2019</v>
      </c>
      <c r="F777" s="3" t="s">
        <v>394</v>
      </c>
      <c r="G777" s="2" t="s">
        <v>12</v>
      </c>
      <c r="H777" s="3" t="s">
        <v>2381</v>
      </c>
      <c r="I777" s="10" t="str">
        <f>HYPERLINK("http://dx.doi.org/10.1051/mattech/2018055","http://dx.doi.org/10.1051/mattech/2018055")</f>
        <v>http://dx.doi.org/10.1051/mattech/2018055</v>
      </c>
    </row>
    <row r="778" spans="1:9" ht="60" x14ac:dyDescent="0.25">
      <c r="A778" s="2">
        <v>775</v>
      </c>
      <c r="B778" s="3" t="s">
        <v>2382</v>
      </c>
      <c r="C778" s="3" t="s">
        <v>2383</v>
      </c>
      <c r="D778" s="3" t="s">
        <v>2384</v>
      </c>
      <c r="E778" s="2">
        <v>2019</v>
      </c>
      <c r="F778" s="3" t="s">
        <v>1886</v>
      </c>
      <c r="G778" s="2" t="s">
        <v>12</v>
      </c>
      <c r="H778" s="3" t="s">
        <v>525</v>
      </c>
      <c r="I778" s="10" t="str">
        <f>HYPERLINK("http://dx.doi.org/10.1063/1.5113100","http://dx.doi.org/10.1063/1.5113100")</f>
        <v>http://dx.doi.org/10.1063/1.5113100</v>
      </c>
    </row>
    <row r="779" spans="1:9" ht="45" x14ac:dyDescent="0.25">
      <c r="A779" s="2">
        <v>776</v>
      </c>
      <c r="B779" s="3" t="s">
        <v>2385</v>
      </c>
      <c r="C779" s="3" t="s">
        <v>2386</v>
      </c>
      <c r="D779" s="3" t="s">
        <v>2387</v>
      </c>
      <c r="E779" s="2">
        <v>2023</v>
      </c>
      <c r="F779" s="3" t="s">
        <v>770</v>
      </c>
      <c r="G779" s="2" t="s">
        <v>12</v>
      </c>
      <c r="H779" s="3" t="s">
        <v>583</v>
      </c>
      <c r="I779" s="10" t="str">
        <f>HYPERLINK("http://dx.doi.org/10.1155/2023/8390554","http://dx.doi.org/10.1155/2023/8390554")</f>
        <v>http://dx.doi.org/10.1155/2023/8390554</v>
      </c>
    </row>
    <row r="780" spans="1:9" ht="60" x14ac:dyDescent="0.25">
      <c r="A780" s="2">
        <v>777</v>
      </c>
      <c r="B780" s="3" t="s">
        <v>2388</v>
      </c>
      <c r="C780" s="3" t="s">
        <v>1695</v>
      </c>
      <c r="D780" s="3" t="s">
        <v>2389</v>
      </c>
      <c r="E780" s="2">
        <v>2020</v>
      </c>
      <c r="F780" s="3" t="s">
        <v>27</v>
      </c>
      <c r="G780" s="2" t="s">
        <v>12</v>
      </c>
      <c r="H780" s="3" t="s">
        <v>48</v>
      </c>
      <c r="I780" s="10" t="str">
        <f>HYPERLINK("http://dx.doi.org/10.1007/s12668-020-00767-5","http://dx.doi.org/10.1007/s12668-020-00767-5")</f>
        <v>http://dx.doi.org/10.1007/s12668-020-00767-5</v>
      </c>
    </row>
    <row r="781" spans="1:9" ht="75" x14ac:dyDescent="0.25">
      <c r="A781" s="2">
        <v>778</v>
      </c>
      <c r="B781" s="3" t="s">
        <v>2390</v>
      </c>
      <c r="C781" s="3" t="s">
        <v>2391</v>
      </c>
      <c r="D781" s="3" t="s">
        <v>2392</v>
      </c>
      <c r="E781" s="2">
        <v>2019</v>
      </c>
      <c r="F781" s="3" t="s">
        <v>2393</v>
      </c>
      <c r="G781" s="2" t="s">
        <v>12</v>
      </c>
      <c r="H781" s="3" t="s">
        <v>1202</v>
      </c>
      <c r="I781" s="10" t="str">
        <f>HYPERLINK("http://dx.doi.org/10.1016/j.snb.2019.04.086","http://dx.doi.org/10.1016/j.snb.2019.04.086")</f>
        <v>http://dx.doi.org/10.1016/j.snb.2019.04.086</v>
      </c>
    </row>
    <row r="782" spans="1:9" ht="75" x14ac:dyDescent="0.25">
      <c r="A782" s="2">
        <v>779</v>
      </c>
      <c r="B782" s="3" t="s">
        <v>2394</v>
      </c>
      <c r="C782" s="3" t="s">
        <v>1969</v>
      </c>
      <c r="D782" s="3" t="s">
        <v>2395</v>
      </c>
      <c r="E782" s="2">
        <v>2019</v>
      </c>
      <c r="F782" s="3" t="s">
        <v>27</v>
      </c>
      <c r="G782" s="2" t="s">
        <v>12</v>
      </c>
      <c r="H782" s="3" t="s">
        <v>48</v>
      </c>
      <c r="I782" s="10" t="str">
        <f>HYPERLINK("http://dx.doi.org/10.1007/s10948-018-4778-5","http://dx.doi.org/10.1007/s10948-018-4778-5")</f>
        <v>http://dx.doi.org/10.1007/s10948-018-4778-5</v>
      </c>
    </row>
    <row r="783" spans="1:9" ht="60" x14ac:dyDescent="0.25">
      <c r="A783" s="2">
        <v>780</v>
      </c>
      <c r="B783" s="3" t="s">
        <v>2396</v>
      </c>
      <c r="C783" s="3" t="s">
        <v>225</v>
      </c>
      <c r="D783" s="3" t="s">
        <v>2397</v>
      </c>
      <c r="E783" s="2">
        <v>2023</v>
      </c>
      <c r="F783" s="3" t="s">
        <v>261</v>
      </c>
      <c r="G783" s="2" t="s">
        <v>12</v>
      </c>
      <c r="H783" s="3" t="s">
        <v>698</v>
      </c>
      <c r="I783" s="10" t="str">
        <f>HYPERLINK("http://dx.doi.org/10.1134/S0036024423120166","http://dx.doi.org/10.1134/S0036024423120166")</f>
        <v>http://dx.doi.org/10.1134/S0036024423120166</v>
      </c>
    </row>
    <row r="784" spans="1:9" ht="45" x14ac:dyDescent="0.25">
      <c r="A784" s="2">
        <v>781</v>
      </c>
      <c r="B784" s="3" t="s">
        <v>2398</v>
      </c>
      <c r="C784" s="3" t="s">
        <v>1572</v>
      </c>
      <c r="D784" s="3" t="s">
        <v>2399</v>
      </c>
      <c r="E784" s="2">
        <v>2022</v>
      </c>
      <c r="F784" s="3" t="s">
        <v>704</v>
      </c>
      <c r="G784" s="2" t="s">
        <v>12</v>
      </c>
      <c r="H784" s="3" t="s">
        <v>2400</v>
      </c>
      <c r="I784" s="10" t="str">
        <f>HYPERLINK("http://dx.doi.org/10.1016/bs.adcom.2022.02.009","http://dx.doi.org/10.1016/bs.adcom.2022.02.009")</f>
        <v>http://dx.doi.org/10.1016/bs.adcom.2022.02.009</v>
      </c>
    </row>
    <row r="785" spans="1:9" ht="75" x14ac:dyDescent="0.25">
      <c r="A785" s="2">
        <v>782</v>
      </c>
      <c r="B785" s="3" t="s">
        <v>2401</v>
      </c>
      <c r="C785" s="3" t="s">
        <v>1152</v>
      </c>
      <c r="D785" s="3" t="s">
        <v>2402</v>
      </c>
      <c r="E785" s="2">
        <v>2020</v>
      </c>
      <c r="F785" s="3" t="s">
        <v>941</v>
      </c>
      <c r="G785" s="2" t="s">
        <v>12</v>
      </c>
      <c r="H785" s="3" t="s">
        <v>1337</v>
      </c>
      <c r="I785" s="10" t="str">
        <f>HYPERLINK("http://dx.doi.org/10.1007/s00044-020-02611-7","http://dx.doi.org/10.1007/s00044-020-02611-7")</f>
        <v>http://dx.doi.org/10.1007/s00044-020-02611-7</v>
      </c>
    </row>
    <row r="786" spans="1:9" ht="90" x14ac:dyDescent="0.25">
      <c r="A786" s="2">
        <v>783</v>
      </c>
      <c r="B786" s="3" t="s">
        <v>2403</v>
      </c>
      <c r="C786" s="3" t="s">
        <v>1949</v>
      </c>
      <c r="D786" s="3" t="s">
        <v>2404</v>
      </c>
      <c r="E786" s="2">
        <v>2024</v>
      </c>
      <c r="F786" s="3" t="s">
        <v>1704</v>
      </c>
      <c r="G786" s="2" t="s">
        <v>12</v>
      </c>
      <c r="H786" s="3" t="s">
        <v>1577</v>
      </c>
      <c r="I786" s="10" t="str">
        <f>HYPERLINK("http://dx.doi.org/10.1007/s12648-023-02851-4","http://dx.doi.org/10.1007/s12648-023-02851-4")</f>
        <v>http://dx.doi.org/10.1007/s12648-023-02851-4</v>
      </c>
    </row>
    <row r="787" spans="1:9" ht="75" x14ac:dyDescent="0.25">
      <c r="A787" s="2">
        <v>784</v>
      </c>
      <c r="B787" s="3" t="s">
        <v>2405</v>
      </c>
      <c r="C787" s="3" t="s">
        <v>211</v>
      </c>
      <c r="D787" s="3" t="s">
        <v>2406</v>
      </c>
      <c r="E787" s="2">
        <v>2023</v>
      </c>
      <c r="F787" s="3" t="s">
        <v>1167</v>
      </c>
      <c r="G787" s="2" t="s">
        <v>12</v>
      </c>
      <c r="H787" s="3" t="s">
        <v>747</v>
      </c>
      <c r="I787" s="10" t="str">
        <f>HYPERLINK("http://dx.doi.org/10.1016/j.conbuildmat.2022.130281","http://dx.doi.org/10.1016/j.conbuildmat.2022.130281")</f>
        <v>http://dx.doi.org/10.1016/j.conbuildmat.2022.130281</v>
      </c>
    </row>
    <row r="788" spans="1:9" ht="75" x14ac:dyDescent="0.25">
      <c r="A788" s="2">
        <v>785</v>
      </c>
      <c r="B788" s="3" t="s">
        <v>2407</v>
      </c>
      <c r="C788" s="3" t="s">
        <v>317</v>
      </c>
      <c r="D788" s="3" t="s">
        <v>2408</v>
      </c>
      <c r="E788" s="2">
        <v>2022</v>
      </c>
      <c r="F788" s="3" t="s">
        <v>2362</v>
      </c>
      <c r="G788" s="2" t="s">
        <v>12</v>
      </c>
      <c r="H788" s="3" t="s">
        <v>799</v>
      </c>
      <c r="I788" s="10" t="str">
        <f>HYPERLINK("http://dx.doi.org/10.3390/app12178836","http://dx.doi.org/10.3390/app12178836")</f>
        <v>http://dx.doi.org/10.3390/app12178836</v>
      </c>
    </row>
    <row r="789" spans="1:9" ht="105" x14ac:dyDescent="0.25">
      <c r="A789" s="2">
        <v>786</v>
      </c>
      <c r="B789" s="3" t="s">
        <v>2409</v>
      </c>
      <c r="C789" s="3" t="s">
        <v>925</v>
      </c>
      <c r="D789" s="3" t="s">
        <v>2410</v>
      </c>
      <c r="E789" s="2">
        <v>2021</v>
      </c>
      <c r="F789" s="3" t="s">
        <v>261</v>
      </c>
      <c r="G789" s="2" t="s">
        <v>12</v>
      </c>
      <c r="H789" s="3" t="s">
        <v>439</v>
      </c>
      <c r="I789" s="10" t="str">
        <f>HYPERLINK("http://dx.doi.org/10.1007/s40097-020-00381-7","http://dx.doi.org/10.1007/s40097-020-00381-7")</f>
        <v>http://dx.doi.org/10.1007/s40097-020-00381-7</v>
      </c>
    </row>
    <row r="790" spans="1:9" ht="75" x14ac:dyDescent="0.25">
      <c r="A790" s="2">
        <v>787</v>
      </c>
      <c r="B790" s="3" t="s">
        <v>2411</v>
      </c>
      <c r="C790" s="3" t="s">
        <v>1367</v>
      </c>
      <c r="D790" s="3" t="s">
        <v>2412</v>
      </c>
      <c r="E790" s="2">
        <v>2023</v>
      </c>
      <c r="F790" s="3" t="s">
        <v>2006</v>
      </c>
      <c r="G790" s="2" t="s">
        <v>12</v>
      </c>
      <c r="H790" s="3" t="s">
        <v>799</v>
      </c>
      <c r="I790" s="10" t="str">
        <f>HYPERLINK("http://dx.doi.org/10.3390/math11224698","http://dx.doi.org/10.3390/math11224698")</f>
        <v>http://dx.doi.org/10.3390/math11224698</v>
      </c>
    </row>
    <row r="791" spans="1:9" ht="75" x14ac:dyDescent="0.25">
      <c r="A791" s="2">
        <v>788</v>
      </c>
      <c r="B791" s="3" t="s">
        <v>2413</v>
      </c>
      <c r="C791" s="3" t="s">
        <v>2414</v>
      </c>
      <c r="D791" s="3" t="s">
        <v>2415</v>
      </c>
      <c r="E791" s="2">
        <v>2019</v>
      </c>
      <c r="F791" s="3" t="s">
        <v>1210</v>
      </c>
      <c r="G791" s="2" t="s">
        <v>12</v>
      </c>
      <c r="H791" s="3" t="s">
        <v>38</v>
      </c>
      <c r="I791" s="10" t="str">
        <f>HYPERLINK("http://dx.doi.org/10.2174/1570180815666180326153322","http://dx.doi.org/10.2174/1570180815666180326153322")</f>
        <v>http://dx.doi.org/10.2174/1570180815666180326153322</v>
      </c>
    </row>
    <row r="792" spans="1:9" ht="75" x14ac:dyDescent="0.25">
      <c r="A792" s="2">
        <v>789</v>
      </c>
      <c r="B792" s="3" t="s">
        <v>2416</v>
      </c>
      <c r="C792" s="3" t="s">
        <v>1490</v>
      </c>
      <c r="D792" s="3" t="s">
        <v>2417</v>
      </c>
      <c r="E792" s="2">
        <v>2023</v>
      </c>
      <c r="F792" s="3" t="s">
        <v>2418</v>
      </c>
      <c r="G792" s="2" t="s">
        <v>12</v>
      </c>
      <c r="H792" s="3" t="s">
        <v>91</v>
      </c>
      <c r="I792" s="10" t="str">
        <f>HYPERLINK("http://dx.doi.org/10.1080/10406638.2023.2225671","http://dx.doi.org/10.1080/10406638.2023.2225671")</f>
        <v>http://dx.doi.org/10.1080/10406638.2023.2225671</v>
      </c>
    </row>
    <row r="793" spans="1:9" ht="120" x14ac:dyDescent="0.25">
      <c r="A793" s="2">
        <v>790</v>
      </c>
      <c r="B793" s="3" t="s">
        <v>2419</v>
      </c>
      <c r="C793" s="3" t="s">
        <v>2420</v>
      </c>
      <c r="D793" s="3" t="s">
        <v>2421</v>
      </c>
      <c r="E793" s="2">
        <v>2023</v>
      </c>
      <c r="F793" s="3" t="s">
        <v>2422</v>
      </c>
      <c r="G793" s="2" t="s">
        <v>12</v>
      </c>
      <c r="H793" s="3" t="s">
        <v>2423</v>
      </c>
      <c r="I793" s="10" t="str">
        <f>HYPERLINK("http://dx.doi.org/10.1016/j.ejmech.2022.114889","http://dx.doi.org/10.1016/j.ejmech.2022.114889")</f>
        <v>http://dx.doi.org/10.1016/j.ejmech.2022.114889</v>
      </c>
    </row>
    <row r="794" spans="1:9" ht="105" x14ac:dyDescent="0.25">
      <c r="A794" s="2">
        <v>791</v>
      </c>
      <c r="B794" s="3" t="s">
        <v>2424</v>
      </c>
      <c r="C794" s="3" t="s">
        <v>30</v>
      </c>
      <c r="D794" s="3" t="s">
        <v>2425</v>
      </c>
      <c r="E794" s="2">
        <v>2021</v>
      </c>
      <c r="F794" s="3" t="s">
        <v>1124</v>
      </c>
      <c r="G794" s="2" t="s">
        <v>12</v>
      </c>
      <c r="H794" s="3" t="s">
        <v>799</v>
      </c>
      <c r="I794" s="10" t="str">
        <f>HYPERLINK("http://dx.doi.org/10.3390/min11121390","http://dx.doi.org/10.3390/min11121390")</f>
        <v>http://dx.doi.org/10.3390/min11121390</v>
      </c>
    </row>
    <row r="795" spans="1:9" ht="75" x14ac:dyDescent="0.25">
      <c r="A795" s="2">
        <v>792</v>
      </c>
      <c r="B795" s="3" t="s">
        <v>2426</v>
      </c>
      <c r="C795" s="3" t="s">
        <v>1797</v>
      </c>
      <c r="D795" s="3" t="s">
        <v>2427</v>
      </c>
      <c r="E795" s="2">
        <v>2021</v>
      </c>
      <c r="F795" s="3" t="s">
        <v>2428</v>
      </c>
      <c r="G795" s="2" t="s">
        <v>12</v>
      </c>
      <c r="H795" s="3" t="s">
        <v>23</v>
      </c>
      <c r="I795" s="10" t="str">
        <f>HYPERLINK("http://dx.doi.org/10.1002/masy.202100115","http://dx.doi.org/10.1002/masy.202100115")</f>
        <v>http://dx.doi.org/10.1002/masy.202100115</v>
      </c>
    </row>
    <row r="796" spans="1:9" ht="45" x14ac:dyDescent="0.25">
      <c r="A796" s="2">
        <v>793</v>
      </c>
      <c r="B796" s="3" t="s">
        <v>2429</v>
      </c>
      <c r="C796" s="3" t="s">
        <v>1152</v>
      </c>
      <c r="D796" s="3" t="s">
        <v>2430</v>
      </c>
      <c r="E796" s="2">
        <v>2019</v>
      </c>
      <c r="F796" s="3" t="s">
        <v>524</v>
      </c>
      <c r="G796" s="2" t="s">
        <v>12</v>
      </c>
      <c r="H796" s="3" t="s">
        <v>356</v>
      </c>
      <c r="I796" s="10" t="str">
        <f>HYPERLINK("http://dx.doi.org/10.1007/s12044-019-0514-8","http://dx.doi.org/10.1007/s12044-019-0514-8")</f>
        <v>http://dx.doi.org/10.1007/s12044-019-0514-8</v>
      </c>
    </row>
    <row r="797" spans="1:9" ht="60" x14ac:dyDescent="0.25">
      <c r="A797" s="2">
        <v>794</v>
      </c>
      <c r="B797" s="3" t="s">
        <v>2431</v>
      </c>
      <c r="C797" s="3" t="s">
        <v>2432</v>
      </c>
      <c r="D797" s="3" t="s">
        <v>2433</v>
      </c>
      <c r="E797" s="2">
        <v>2022</v>
      </c>
      <c r="F797" s="3" t="s">
        <v>757</v>
      </c>
      <c r="G797" s="2" t="s">
        <v>12</v>
      </c>
      <c r="H797" s="3" t="s">
        <v>23</v>
      </c>
      <c r="I797" s="10" t="str">
        <f>HYPERLINK("http://dx.doi.org/10.1002/bkcs.12481","http://dx.doi.org/10.1002/bkcs.12481")</f>
        <v>http://dx.doi.org/10.1002/bkcs.12481</v>
      </c>
    </row>
    <row r="798" spans="1:9" ht="75" x14ac:dyDescent="0.25">
      <c r="A798" s="2">
        <v>795</v>
      </c>
      <c r="B798" s="3" t="s">
        <v>2434</v>
      </c>
      <c r="C798" s="3" t="s">
        <v>2302</v>
      </c>
      <c r="D798" s="3" t="s">
        <v>2435</v>
      </c>
      <c r="E798" s="2">
        <v>2020</v>
      </c>
      <c r="F798" s="3" t="s">
        <v>2436</v>
      </c>
      <c r="G798" s="2" t="s">
        <v>12</v>
      </c>
      <c r="H798" s="3" t="s">
        <v>91</v>
      </c>
      <c r="I798" s="10" t="str">
        <f>HYPERLINK("http://dx.doi.org/10.1080/10584587.2019.1675012","http://dx.doi.org/10.1080/10584587.2019.1675012")</f>
        <v>http://dx.doi.org/10.1080/10584587.2019.1675012</v>
      </c>
    </row>
    <row r="799" spans="1:9" ht="90" x14ac:dyDescent="0.25">
      <c r="A799" s="2">
        <v>796</v>
      </c>
      <c r="B799" s="3" t="s">
        <v>2437</v>
      </c>
      <c r="C799" s="3" t="s">
        <v>2438</v>
      </c>
      <c r="D799" s="3" t="s">
        <v>2439</v>
      </c>
      <c r="E799" s="2">
        <v>2018</v>
      </c>
      <c r="F799" s="3" t="s">
        <v>1461</v>
      </c>
      <c r="G799" s="2" t="s">
        <v>12</v>
      </c>
      <c r="H799" s="3" t="s">
        <v>1202</v>
      </c>
      <c r="I799" s="10" t="str">
        <f>HYPERLINK("http://dx.doi.org/10.1016/j.matchemphys.2018.04.019","http://dx.doi.org/10.1016/j.matchemphys.2018.04.019")</f>
        <v>http://dx.doi.org/10.1016/j.matchemphys.2018.04.019</v>
      </c>
    </row>
    <row r="800" spans="1:9" ht="90" x14ac:dyDescent="0.25">
      <c r="A800" s="2">
        <v>797</v>
      </c>
      <c r="B800" s="3" t="s">
        <v>2440</v>
      </c>
      <c r="C800" s="3" t="s">
        <v>2441</v>
      </c>
      <c r="D800" s="3" t="s">
        <v>2442</v>
      </c>
      <c r="E800" s="2">
        <v>2022</v>
      </c>
      <c r="F800" s="3" t="s">
        <v>941</v>
      </c>
      <c r="G800" s="2" t="s">
        <v>12</v>
      </c>
      <c r="H800" s="3" t="s">
        <v>747</v>
      </c>
      <c r="I800" s="10" t="str">
        <f>HYPERLINK("http://dx.doi.org/10.1016/j.ceramint.2022.08.164","http://dx.doi.org/10.1016/j.ceramint.2022.08.164")</f>
        <v>http://dx.doi.org/10.1016/j.ceramint.2022.08.164</v>
      </c>
    </row>
    <row r="801" spans="1:9" ht="90" x14ac:dyDescent="0.25">
      <c r="A801" s="2">
        <v>798</v>
      </c>
      <c r="B801" s="3" t="s">
        <v>2443</v>
      </c>
      <c r="C801" s="3" t="s">
        <v>2444</v>
      </c>
      <c r="D801" s="3" t="s">
        <v>2445</v>
      </c>
      <c r="E801" s="2">
        <v>2021</v>
      </c>
      <c r="F801" s="3" t="s">
        <v>271</v>
      </c>
      <c r="G801" s="2" t="s">
        <v>12</v>
      </c>
      <c r="H801" s="3" t="s">
        <v>23</v>
      </c>
      <c r="I801" s="10" t="str">
        <f>HYPERLINK("http://dx.doi.org/10.1002/masy.202100056","http://dx.doi.org/10.1002/masy.202100056")</f>
        <v>http://dx.doi.org/10.1002/masy.202100056</v>
      </c>
    </row>
    <row r="802" spans="1:9" ht="75" x14ac:dyDescent="0.25">
      <c r="A802" s="2">
        <v>799</v>
      </c>
      <c r="B802" s="3" t="s">
        <v>2446</v>
      </c>
      <c r="C802" s="3" t="s">
        <v>81</v>
      </c>
      <c r="D802" s="3" t="s">
        <v>2447</v>
      </c>
      <c r="E802" s="2">
        <v>2020</v>
      </c>
      <c r="F802" s="3" t="s">
        <v>941</v>
      </c>
      <c r="G802" s="2" t="s">
        <v>12</v>
      </c>
      <c r="H802" s="3" t="s">
        <v>277</v>
      </c>
      <c r="I802" s="10" t="str">
        <f>HYPERLINK("http://dx.doi.org/10.1016/j.chemolab.2020.104172","http://dx.doi.org/10.1016/j.chemolab.2020.104172")</f>
        <v>http://dx.doi.org/10.1016/j.chemolab.2020.104172</v>
      </c>
    </row>
    <row r="803" spans="1:9" ht="90" x14ac:dyDescent="0.25">
      <c r="A803" s="2">
        <v>800</v>
      </c>
      <c r="B803" s="3" t="s">
        <v>2448</v>
      </c>
      <c r="C803" s="3" t="s">
        <v>45</v>
      </c>
      <c r="D803" s="3" t="s">
        <v>2449</v>
      </c>
      <c r="E803" s="2">
        <v>2020</v>
      </c>
      <c r="F803" s="3" t="s">
        <v>1352</v>
      </c>
      <c r="G803" s="2" t="s">
        <v>12</v>
      </c>
      <c r="H803" s="3" t="s">
        <v>799</v>
      </c>
      <c r="I803" s="10" t="str">
        <f>HYPERLINK("http://dx.doi.org/10.3390/nano10010025","http://dx.doi.org/10.3390/nano10010025")</f>
        <v>http://dx.doi.org/10.3390/nano10010025</v>
      </c>
    </row>
    <row r="804" spans="1:9" ht="60" x14ac:dyDescent="0.25">
      <c r="A804" s="2">
        <v>801</v>
      </c>
      <c r="B804" s="3" t="s">
        <v>2450</v>
      </c>
      <c r="C804" s="3" t="s">
        <v>2451</v>
      </c>
      <c r="D804" s="3" t="s">
        <v>2452</v>
      </c>
      <c r="E804" s="2">
        <v>2023</v>
      </c>
      <c r="F804" s="3" t="s">
        <v>757</v>
      </c>
      <c r="G804" s="2" t="s">
        <v>12</v>
      </c>
      <c r="H804" s="3" t="s">
        <v>799</v>
      </c>
      <c r="I804" s="10" t="str">
        <f>HYPERLINK("http://dx.doi.org/10.3390/jcs7110473","http://dx.doi.org/10.3390/jcs7110473")</f>
        <v>http://dx.doi.org/10.3390/jcs7110473</v>
      </c>
    </row>
    <row r="805" spans="1:9" ht="60" x14ac:dyDescent="0.25">
      <c r="A805" s="2">
        <v>802</v>
      </c>
      <c r="B805" s="3" t="s">
        <v>2453</v>
      </c>
      <c r="C805" s="3" t="s">
        <v>45</v>
      </c>
      <c r="D805" s="3" t="s">
        <v>2454</v>
      </c>
      <c r="E805" s="2">
        <v>2023</v>
      </c>
      <c r="F805" s="3" t="s">
        <v>236</v>
      </c>
      <c r="G805" s="2" t="s">
        <v>12</v>
      </c>
      <c r="H805" s="3" t="s">
        <v>277</v>
      </c>
      <c r="I805" s="10" t="str">
        <f>HYPERLINK("http://dx.doi.org/10.1016/j.rechem.2023.101134","http://dx.doi.org/10.1016/j.rechem.2023.101134")</f>
        <v>http://dx.doi.org/10.1016/j.rechem.2023.101134</v>
      </c>
    </row>
    <row r="806" spans="1:9" ht="90" x14ac:dyDescent="0.25">
      <c r="A806" s="2">
        <v>803</v>
      </c>
      <c r="B806" s="3" t="s">
        <v>2455</v>
      </c>
      <c r="C806" s="3" t="s">
        <v>1949</v>
      </c>
      <c r="D806" s="3" t="s">
        <v>2456</v>
      </c>
      <c r="E806" s="2">
        <v>2022</v>
      </c>
      <c r="F806" s="3" t="s">
        <v>2098</v>
      </c>
      <c r="G806" s="2" t="s">
        <v>12</v>
      </c>
      <c r="H806" s="3" t="s">
        <v>583</v>
      </c>
      <c r="I806" s="10" t="str">
        <f>HYPERLINK("http://dx.doi.org/10.1155/2022/9671594","http://dx.doi.org/10.1155/2022/9671594")</f>
        <v>http://dx.doi.org/10.1155/2022/9671594</v>
      </c>
    </row>
    <row r="807" spans="1:9" ht="45" x14ac:dyDescent="0.25">
      <c r="A807" s="2">
        <v>804</v>
      </c>
      <c r="B807" s="3" t="s">
        <v>2457</v>
      </c>
      <c r="C807" s="3" t="s">
        <v>724</v>
      </c>
      <c r="D807" s="3" t="s">
        <v>2458</v>
      </c>
      <c r="E807" s="2">
        <v>2022</v>
      </c>
      <c r="F807" s="3" t="s">
        <v>2459</v>
      </c>
      <c r="G807" s="2" t="s">
        <v>12</v>
      </c>
      <c r="H807" s="3" t="s">
        <v>277</v>
      </c>
      <c r="I807" s="10" t="str">
        <f>HYPERLINK("http://dx.doi.org/10.1016/j.matpr.2022.06.414","http://dx.doi.org/10.1016/j.matpr.2022.06.414")</f>
        <v>http://dx.doi.org/10.1016/j.matpr.2022.06.414</v>
      </c>
    </row>
    <row r="808" spans="1:9" ht="90" x14ac:dyDescent="0.25">
      <c r="A808" s="2">
        <v>805</v>
      </c>
      <c r="B808" s="3" t="s">
        <v>2460</v>
      </c>
      <c r="C808" s="3" t="s">
        <v>25</v>
      </c>
      <c r="D808" s="3" t="s">
        <v>2461</v>
      </c>
      <c r="E808" s="2">
        <v>2020</v>
      </c>
      <c r="F808" s="3" t="s">
        <v>22</v>
      </c>
      <c r="G808" s="2" t="s">
        <v>12</v>
      </c>
      <c r="H808" s="3" t="s">
        <v>91</v>
      </c>
      <c r="I808" s="10" t="str">
        <f>HYPERLINK("http://dx.doi.org/10.1080/1062936X.2020.1784271","http://dx.doi.org/10.1080/1062936X.2020.1784271")</f>
        <v>http://dx.doi.org/10.1080/1062936X.2020.1784271</v>
      </c>
    </row>
    <row r="809" spans="1:9" ht="60" x14ac:dyDescent="0.25">
      <c r="A809" s="2">
        <v>806</v>
      </c>
      <c r="B809" s="3" t="s">
        <v>2462</v>
      </c>
      <c r="C809" s="3" t="s">
        <v>2463</v>
      </c>
      <c r="D809" s="3" t="s">
        <v>2464</v>
      </c>
      <c r="E809" s="2">
        <v>2020</v>
      </c>
      <c r="F809" s="3" t="s">
        <v>403</v>
      </c>
      <c r="G809" s="2" t="s">
        <v>12</v>
      </c>
      <c r="H809" s="3" t="s">
        <v>23</v>
      </c>
      <c r="I809" s="10" t="str">
        <f>HYPERLINK("http://dx.doi.org/10.1002/masy.202000176","http://dx.doi.org/10.1002/masy.202000176")</f>
        <v>http://dx.doi.org/10.1002/masy.202000176</v>
      </c>
    </row>
    <row r="810" spans="1:9" ht="75" x14ac:dyDescent="0.25">
      <c r="A810" s="2">
        <v>807</v>
      </c>
      <c r="B810" s="3" t="s">
        <v>2465</v>
      </c>
      <c r="C810" s="3" t="s">
        <v>25</v>
      </c>
      <c r="D810" s="3" t="s">
        <v>2466</v>
      </c>
      <c r="E810" s="2">
        <v>2022</v>
      </c>
      <c r="F810" s="3" t="s">
        <v>236</v>
      </c>
      <c r="G810" s="2" t="s">
        <v>12</v>
      </c>
      <c r="H810" s="3" t="s">
        <v>583</v>
      </c>
      <c r="I810" s="10" t="str">
        <f>HYPERLINK("http://dx.doi.org/10.1155/2022/5252528","http://dx.doi.org/10.1155/2022/5252528")</f>
        <v>http://dx.doi.org/10.1155/2022/5252528</v>
      </c>
    </row>
    <row r="811" spans="1:9" ht="60" x14ac:dyDescent="0.25">
      <c r="A811" s="2">
        <v>808</v>
      </c>
      <c r="B811" s="3" t="s">
        <v>2467</v>
      </c>
      <c r="C811" s="3" t="s">
        <v>2211</v>
      </c>
      <c r="D811" s="3" t="s">
        <v>2468</v>
      </c>
      <c r="E811" s="2">
        <v>2022</v>
      </c>
      <c r="F811" s="3" t="s">
        <v>757</v>
      </c>
      <c r="G811" s="2" t="s">
        <v>12</v>
      </c>
      <c r="H811" s="3" t="s">
        <v>1967</v>
      </c>
      <c r="I811" s="10" t="str">
        <f>HYPERLINK("http://dx.doi.org/10.32604/cmc.2022.019625","http://dx.doi.org/10.32604/cmc.2022.019625")</f>
        <v>http://dx.doi.org/10.32604/cmc.2022.019625</v>
      </c>
    </row>
    <row r="812" spans="1:9" ht="90" x14ac:dyDescent="0.25">
      <c r="A812" s="2">
        <v>809</v>
      </c>
      <c r="B812" s="3" t="s">
        <v>2469</v>
      </c>
      <c r="C812" s="3" t="s">
        <v>925</v>
      </c>
      <c r="D812" s="3" t="s">
        <v>2470</v>
      </c>
      <c r="E812" s="2">
        <v>2022</v>
      </c>
      <c r="F812" s="3" t="s">
        <v>704</v>
      </c>
      <c r="G812" s="2" t="s">
        <v>12</v>
      </c>
      <c r="H812" s="3" t="s">
        <v>1027</v>
      </c>
      <c r="I812" s="10" t="str">
        <f>HYPERLINK("http://dx.doi.org/10.1007/s12038-021-00242-7","http://dx.doi.org/10.1007/s12038-021-00242-7")</f>
        <v>http://dx.doi.org/10.1007/s12038-021-00242-7</v>
      </c>
    </row>
    <row r="813" spans="1:9" ht="90" x14ac:dyDescent="0.25">
      <c r="A813" s="2">
        <v>810</v>
      </c>
      <c r="B813" s="3" t="s">
        <v>2471</v>
      </c>
      <c r="C813" s="3" t="s">
        <v>211</v>
      </c>
      <c r="D813" s="3" t="s">
        <v>2472</v>
      </c>
      <c r="E813" s="2">
        <v>2022</v>
      </c>
      <c r="F813" s="3" t="s">
        <v>1097</v>
      </c>
      <c r="G813" s="2" t="s">
        <v>12</v>
      </c>
      <c r="H813" s="3" t="s">
        <v>91</v>
      </c>
      <c r="I813" s="10" t="str">
        <f>HYPERLINK("http://dx.doi.org/10.1080/10406638.2020.1821229","http://dx.doi.org/10.1080/10406638.2020.1821229")</f>
        <v>http://dx.doi.org/10.1080/10406638.2020.1821229</v>
      </c>
    </row>
    <row r="814" spans="1:9" ht="60" x14ac:dyDescent="0.25">
      <c r="A814" s="2">
        <v>811</v>
      </c>
      <c r="B814" s="3" t="s">
        <v>2473</v>
      </c>
      <c r="C814" s="3" t="s">
        <v>1778</v>
      </c>
      <c r="D814" s="3" t="s">
        <v>2474</v>
      </c>
      <c r="E814" s="2">
        <v>2024</v>
      </c>
      <c r="F814" s="3" t="s">
        <v>1097</v>
      </c>
      <c r="G814" s="2" t="s">
        <v>12</v>
      </c>
      <c r="H814" s="3" t="s">
        <v>923</v>
      </c>
      <c r="I814" s="10" t="str">
        <f>HYPERLINK("http://dx.doi.org/10.1108/IDD-12-2022-0128","http://dx.doi.org/10.1108/IDD-12-2022-0128")</f>
        <v>http://dx.doi.org/10.1108/IDD-12-2022-0128</v>
      </c>
    </row>
    <row r="815" spans="1:9" ht="90" x14ac:dyDescent="0.25">
      <c r="A815" s="2">
        <v>812</v>
      </c>
      <c r="B815" s="3" t="s">
        <v>2475</v>
      </c>
      <c r="C815" s="3" t="s">
        <v>1226</v>
      </c>
      <c r="D815" s="3" t="s">
        <v>2476</v>
      </c>
      <c r="E815" s="2">
        <v>2019</v>
      </c>
      <c r="F815" s="3" t="s">
        <v>2477</v>
      </c>
      <c r="G815" s="2" t="s">
        <v>12</v>
      </c>
      <c r="H815" s="3" t="s">
        <v>67</v>
      </c>
      <c r="I815" s="10" t="str">
        <f>HYPERLINK("http://dx.doi.org/10.1002/jhet.3608","http://dx.doi.org/10.1002/jhet.3608")</f>
        <v>http://dx.doi.org/10.1002/jhet.3608</v>
      </c>
    </row>
    <row r="816" spans="1:9" ht="75" x14ac:dyDescent="0.25">
      <c r="A816" s="2">
        <v>813</v>
      </c>
      <c r="B816" s="3" t="s">
        <v>2478</v>
      </c>
      <c r="C816" s="3" t="s">
        <v>2432</v>
      </c>
      <c r="D816" s="3" t="s">
        <v>2479</v>
      </c>
      <c r="E816" s="2">
        <v>2022</v>
      </c>
      <c r="F816" s="3" t="s">
        <v>955</v>
      </c>
      <c r="G816" s="2" t="s">
        <v>12</v>
      </c>
      <c r="H816" s="3" t="s">
        <v>48</v>
      </c>
      <c r="I816" s="10" t="str">
        <f>HYPERLINK("http://dx.doi.org/10.1007/s10854-022-09069-w","http://dx.doi.org/10.1007/s10854-022-09069-w")</f>
        <v>http://dx.doi.org/10.1007/s10854-022-09069-w</v>
      </c>
    </row>
    <row r="817" spans="1:9" ht="90" x14ac:dyDescent="0.25">
      <c r="A817" s="2">
        <v>814</v>
      </c>
      <c r="B817" s="3" t="s">
        <v>2480</v>
      </c>
      <c r="C817" s="3" t="s">
        <v>1532</v>
      </c>
      <c r="D817" s="3" t="s">
        <v>2481</v>
      </c>
      <c r="E817" s="2">
        <v>2020</v>
      </c>
      <c r="F817" s="3" t="s">
        <v>22</v>
      </c>
      <c r="G817" s="2" t="s">
        <v>12</v>
      </c>
      <c r="H817" s="3" t="s">
        <v>84</v>
      </c>
      <c r="I817" s="10" t="str">
        <f>HYPERLINK("http://dx.doi.org/10.1142/S0219581X2050009X","http://dx.doi.org/10.1142/S0219581X2050009X")</f>
        <v>http://dx.doi.org/10.1142/S0219581X2050009X</v>
      </c>
    </row>
    <row r="818" spans="1:9" ht="60" x14ac:dyDescent="0.25">
      <c r="A818" s="2">
        <v>815</v>
      </c>
      <c r="B818" s="3" t="s">
        <v>2482</v>
      </c>
      <c r="C818" s="3" t="s">
        <v>2074</v>
      </c>
      <c r="D818" s="3" t="s">
        <v>2483</v>
      </c>
      <c r="E818" s="2">
        <v>2019</v>
      </c>
      <c r="F818" s="3" t="s">
        <v>2484</v>
      </c>
      <c r="G818" s="2" t="s">
        <v>12</v>
      </c>
      <c r="H818" s="3" t="s">
        <v>2485</v>
      </c>
      <c r="I818" s="10" t="str">
        <f>HYPERLINK("http://dx.doi.org/10.3846/mma.2019.034","http://dx.doi.org/10.3846/mma.2019.034")</f>
        <v>http://dx.doi.org/10.3846/mma.2019.034</v>
      </c>
    </row>
    <row r="819" spans="1:9" ht="60" x14ac:dyDescent="0.25">
      <c r="A819" s="2">
        <v>816</v>
      </c>
      <c r="B819" s="3" t="s">
        <v>2486</v>
      </c>
      <c r="C819" s="3" t="s">
        <v>1275</v>
      </c>
      <c r="D819" s="3" t="s">
        <v>2487</v>
      </c>
      <c r="E819" s="2">
        <v>2024</v>
      </c>
      <c r="F819" s="3" t="s">
        <v>2488</v>
      </c>
      <c r="G819" s="2" t="s">
        <v>12</v>
      </c>
      <c r="H819" s="3" t="s">
        <v>923</v>
      </c>
      <c r="I819" s="10" t="str">
        <f>HYPERLINK("http://dx.doi.org/10.1108/GKMC-04-2022-0094","http://dx.doi.org/10.1108/GKMC-04-2022-0094")</f>
        <v>http://dx.doi.org/10.1108/GKMC-04-2022-0094</v>
      </c>
    </row>
    <row r="820" spans="1:9" ht="60" x14ac:dyDescent="0.25">
      <c r="A820" s="2">
        <v>817</v>
      </c>
      <c r="B820" s="3" t="s">
        <v>2489</v>
      </c>
      <c r="C820" s="3" t="s">
        <v>2490</v>
      </c>
      <c r="D820" s="3" t="s">
        <v>2491</v>
      </c>
      <c r="E820" s="2">
        <v>2022</v>
      </c>
      <c r="F820" s="3" t="s">
        <v>2492</v>
      </c>
      <c r="G820" s="2" t="s">
        <v>12</v>
      </c>
      <c r="H820" s="3" t="s">
        <v>799</v>
      </c>
      <c r="I820" s="10" t="str">
        <f>HYPERLINK("http://dx.doi.org/10.3390/s22114079","http://dx.doi.org/10.3390/s22114079")</f>
        <v>http://dx.doi.org/10.3390/s22114079</v>
      </c>
    </row>
    <row r="821" spans="1:9" ht="75" x14ac:dyDescent="0.25">
      <c r="A821" s="2">
        <v>818</v>
      </c>
      <c r="B821" s="3" t="s">
        <v>2493</v>
      </c>
      <c r="C821" s="3" t="s">
        <v>2494</v>
      </c>
      <c r="D821" s="3" t="s">
        <v>2495</v>
      </c>
      <c r="E821" s="2">
        <v>2022</v>
      </c>
      <c r="F821" s="3" t="s">
        <v>1588</v>
      </c>
      <c r="G821" s="2" t="s">
        <v>12</v>
      </c>
      <c r="H821" s="3" t="s">
        <v>583</v>
      </c>
      <c r="I821" s="10" t="str">
        <f>HYPERLINK("http://dx.doi.org/10.1155/2022/9693005","http://dx.doi.org/10.1155/2022/9693005")</f>
        <v>http://dx.doi.org/10.1155/2022/9693005</v>
      </c>
    </row>
    <row r="822" spans="1:9" ht="90" x14ac:dyDescent="0.25">
      <c r="A822" s="2">
        <v>819</v>
      </c>
      <c r="B822" s="3" t="s">
        <v>2496</v>
      </c>
      <c r="C822" s="3" t="s">
        <v>1182</v>
      </c>
      <c r="D822" s="3" t="s">
        <v>2497</v>
      </c>
      <c r="E822" s="2">
        <v>2021</v>
      </c>
      <c r="F822" s="3" t="s">
        <v>582</v>
      </c>
      <c r="G822" s="2" t="s">
        <v>12</v>
      </c>
      <c r="H822" s="3" t="s">
        <v>48</v>
      </c>
      <c r="I822" s="10" t="str">
        <f>HYPERLINK("http://dx.doi.org/10.1007/s11664-021-09199-7","http://dx.doi.org/10.1007/s11664-021-09199-7")</f>
        <v>http://dx.doi.org/10.1007/s11664-021-09199-7</v>
      </c>
    </row>
    <row r="823" spans="1:9" ht="45" x14ac:dyDescent="0.25">
      <c r="A823" s="2">
        <v>820</v>
      </c>
      <c r="B823" s="3" t="s">
        <v>2498</v>
      </c>
      <c r="C823" s="3" t="s">
        <v>2499</v>
      </c>
      <c r="D823" s="3" t="s">
        <v>2500</v>
      </c>
      <c r="E823" s="2">
        <v>2022</v>
      </c>
      <c r="F823" s="3" t="s">
        <v>1386</v>
      </c>
      <c r="G823" s="2" t="s">
        <v>12</v>
      </c>
      <c r="H823" s="3" t="s">
        <v>799</v>
      </c>
      <c r="I823" s="10" t="str">
        <f>HYPERLINK("http://dx.doi.org/10.3390/fractalfract6050251","http://dx.doi.org/10.3390/fractalfract6050251")</f>
        <v>http://dx.doi.org/10.3390/fractalfract6050251</v>
      </c>
    </row>
    <row r="824" spans="1:9" ht="90" x14ac:dyDescent="0.25">
      <c r="A824" s="2">
        <v>821</v>
      </c>
      <c r="B824" s="3" t="s">
        <v>2501</v>
      </c>
      <c r="C824" s="3" t="s">
        <v>588</v>
      </c>
      <c r="D824" s="3" t="s">
        <v>2502</v>
      </c>
      <c r="E824" s="2">
        <v>2019</v>
      </c>
      <c r="F824" s="3" t="s">
        <v>1349</v>
      </c>
      <c r="G824" s="2" t="s">
        <v>12</v>
      </c>
      <c r="H824" s="3" t="s">
        <v>181</v>
      </c>
      <c r="I824" s="10" t="str">
        <f>HYPERLINK("http://dx.doi.org/10.1016/j.ijhydene.2019.02.054","http://dx.doi.org/10.1016/j.ijhydene.2019.02.054")</f>
        <v>http://dx.doi.org/10.1016/j.ijhydene.2019.02.054</v>
      </c>
    </row>
    <row r="825" spans="1:9" ht="75" x14ac:dyDescent="0.25">
      <c r="A825" s="2">
        <v>822</v>
      </c>
      <c r="B825" s="3" t="s">
        <v>2503</v>
      </c>
      <c r="C825" s="3" t="s">
        <v>817</v>
      </c>
      <c r="D825" s="3" t="s">
        <v>2504</v>
      </c>
      <c r="E825" s="2">
        <v>2023</v>
      </c>
      <c r="F825" s="3" t="s">
        <v>403</v>
      </c>
      <c r="G825" s="2" t="s">
        <v>12</v>
      </c>
      <c r="H825" s="3" t="s">
        <v>799</v>
      </c>
      <c r="I825" s="10" t="str">
        <f>HYPERLINK("http://dx.doi.org/10.3390/math11194208","http://dx.doi.org/10.3390/math11194208")</f>
        <v>http://dx.doi.org/10.3390/math11194208</v>
      </c>
    </row>
    <row r="826" spans="1:9" ht="75" x14ac:dyDescent="0.25">
      <c r="A826" s="2">
        <v>823</v>
      </c>
      <c r="B826" s="3" t="s">
        <v>2505</v>
      </c>
      <c r="C826" s="3" t="s">
        <v>2506</v>
      </c>
      <c r="D826" s="3" t="s">
        <v>2507</v>
      </c>
      <c r="E826" s="2">
        <v>2023</v>
      </c>
      <c r="F826" s="3" t="s">
        <v>2508</v>
      </c>
      <c r="G826" s="2" t="s">
        <v>12</v>
      </c>
      <c r="H826" s="3" t="s">
        <v>277</v>
      </c>
      <c r="I826" s="10" t="str">
        <f>HYPERLINK("http://dx.doi.org/10.1016/j.mtsust.2023.100371","http://dx.doi.org/10.1016/j.mtsust.2023.100371")</f>
        <v>http://dx.doi.org/10.1016/j.mtsust.2023.100371</v>
      </c>
    </row>
    <row r="827" spans="1:9" ht="75" x14ac:dyDescent="0.25">
      <c r="A827" s="2">
        <v>824</v>
      </c>
      <c r="B827" s="3" t="s">
        <v>2509</v>
      </c>
      <c r="C827" s="3" t="s">
        <v>1526</v>
      </c>
      <c r="D827" s="3" t="s">
        <v>2510</v>
      </c>
      <c r="E827" s="2">
        <v>2022</v>
      </c>
      <c r="F827" s="3" t="s">
        <v>2511</v>
      </c>
      <c r="G827" s="2" t="s">
        <v>12</v>
      </c>
      <c r="H827" s="3" t="s">
        <v>277</v>
      </c>
      <c r="I827" s="10" t="str">
        <f>HYPERLINK("http://dx.doi.org/10.1016/j.fbio.2022.102149","http://dx.doi.org/10.1016/j.fbio.2022.102149")</f>
        <v>http://dx.doi.org/10.1016/j.fbio.2022.102149</v>
      </c>
    </row>
    <row r="828" spans="1:9" ht="90" x14ac:dyDescent="0.25">
      <c r="A828" s="2">
        <v>825</v>
      </c>
      <c r="B828" s="3" t="s">
        <v>2512</v>
      </c>
      <c r="C828" s="3" t="s">
        <v>211</v>
      </c>
      <c r="D828" s="3" t="s">
        <v>2513</v>
      </c>
      <c r="E828" s="2">
        <v>2022</v>
      </c>
      <c r="F828" s="3" t="s">
        <v>2514</v>
      </c>
      <c r="G828" s="2" t="s">
        <v>12</v>
      </c>
      <c r="H828" s="3" t="s">
        <v>48</v>
      </c>
      <c r="I828" s="10" t="str">
        <f>HYPERLINK("http://dx.doi.org/10.1007/s13538-022-01125-4","http://dx.doi.org/10.1007/s13538-022-01125-4")</f>
        <v>http://dx.doi.org/10.1007/s13538-022-01125-4</v>
      </c>
    </row>
    <row r="829" spans="1:9" ht="60" x14ac:dyDescent="0.25">
      <c r="A829" s="2">
        <v>826</v>
      </c>
      <c r="B829" s="3" t="s">
        <v>2515</v>
      </c>
      <c r="C829" s="3" t="s">
        <v>2211</v>
      </c>
      <c r="D829" s="3" t="s">
        <v>2516</v>
      </c>
      <c r="E829" s="2">
        <v>2020</v>
      </c>
      <c r="F829" s="3" t="s">
        <v>1026</v>
      </c>
      <c r="G829" s="2" t="s">
        <v>12</v>
      </c>
      <c r="H829" s="3" t="s">
        <v>799</v>
      </c>
      <c r="I829" s="10" t="str">
        <f>HYPERLINK("http://dx.doi.org/10.3390/ma13030514","http://dx.doi.org/10.3390/ma13030514")</f>
        <v>http://dx.doi.org/10.3390/ma13030514</v>
      </c>
    </row>
    <row r="830" spans="1:9" ht="75" x14ac:dyDescent="0.25">
      <c r="A830" s="2">
        <v>827</v>
      </c>
      <c r="B830" s="3" t="s">
        <v>2517</v>
      </c>
      <c r="C830" s="3" t="s">
        <v>211</v>
      </c>
      <c r="D830" s="3" t="s">
        <v>2518</v>
      </c>
      <c r="E830" s="2">
        <v>2018</v>
      </c>
      <c r="F830" s="3" t="s">
        <v>236</v>
      </c>
      <c r="G830" s="2" t="s">
        <v>12</v>
      </c>
      <c r="H830" s="3" t="s">
        <v>1637</v>
      </c>
      <c r="I830" s="10" t="str">
        <f>HYPERLINK("http://dx.doi.org/10.1088/2053-1591/aab2d1","http://dx.doi.org/10.1088/2053-1591/aab2d1")</f>
        <v>http://dx.doi.org/10.1088/2053-1591/aab2d1</v>
      </c>
    </row>
    <row r="831" spans="1:9" ht="75" x14ac:dyDescent="0.25">
      <c r="A831" s="2">
        <v>828</v>
      </c>
      <c r="B831" s="3" t="s">
        <v>2519</v>
      </c>
      <c r="C831" s="3" t="s">
        <v>964</v>
      </c>
      <c r="D831" s="3" t="s">
        <v>2520</v>
      </c>
      <c r="E831" s="2">
        <v>2018</v>
      </c>
      <c r="F831" s="3" t="s">
        <v>2521</v>
      </c>
      <c r="G831" s="2" t="s">
        <v>12</v>
      </c>
      <c r="H831" s="3" t="s">
        <v>2522</v>
      </c>
      <c r="I831" s="10" t="s">
        <v>2523</v>
      </c>
    </row>
    <row r="832" spans="1:9" ht="45" x14ac:dyDescent="0.25">
      <c r="A832" s="2">
        <v>829</v>
      </c>
      <c r="B832" s="3" t="s">
        <v>2524</v>
      </c>
      <c r="C832" s="3" t="s">
        <v>817</v>
      </c>
      <c r="D832" s="3" t="s">
        <v>2525</v>
      </c>
      <c r="E832" s="2">
        <v>2018</v>
      </c>
      <c r="F832" s="3" t="s">
        <v>559</v>
      </c>
      <c r="G832" s="2" t="s">
        <v>12</v>
      </c>
      <c r="H832" s="3" t="s">
        <v>686</v>
      </c>
      <c r="I832" s="10" t="str">
        <f>HYPERLINK("http://dx.doi.org/10.1016/j.mseb.2017.11.018","http://dx.doi.org/10.1016/j.mseb.2017.11.018")</f>
        <v>http://dx.doi.org/10.1016/j.mseb.2017.11.018</v>
      </c>
    </row>
    <row r="833" spans="1:9" ht="60" x14ac:dyDescent="0.25">
      <c r="A833" s="2">
        <v>830</v>
      </c>
      <c r="B833" s="3" t="s">
        <v>2526</v>
      </c>
      <c r="C833" s="3" t="s">
        <v>1532</v>
      </c>
      <c r="D833" s="3" t="s">
        <v>2527</v>
      </c>
      <c r="E833" s="2">
        <v>2019</v>
      </c>
      <c r="F833" s="3" t="s">
        <v>994</v>
      </c>
      <c r="G833" s="2" t="s">
        <v>12</v>
      </c>
      <c r="H833" s="3" t="s">
        <v>28</v>
      </c>
      <c r="I833" s="10" t="str">
        <f>HYPERLINK("http://dx.doi.org/10.1021/acsomega.9b01382","http://dx.doi.org/10.1021/acsomega.9b01382")</f>
        <v>http://dx.doi.org/10.1021/acsomega.9b01382</v>
      </c>
    </row>
    <row r="834" spans="1:9" ht="90" x14ac:dyDescent="0.25">
      <c r="A834" s="2">
        <v>831</v>
      </c>
      <c r="B834" s="3" t="s">
        <v>2528</v>
      </c>
      <c r="C834" s="3" t="s">
        <v>2166</v>
      </c>
      <c r="D834" s="3" t="s">
        <v>2529</v>
      </c>
      <c r="E834" s="2">
        <v>2018</v>
      </c>
      <c r="F834" s="3" t="s">
        <v>2530</v>
      </c>
      <c r="G834" s="2" t="s">
        <v>12</v>
      </c>
      <c r="H834" s="3" t="s">
        <v>48</v>
      </c>
      <c r="I834" s="10" t="str">
        <f>HYPERLINK("http://dx.doi.org/10.1007/s10008-017-3833-7","http://dx.doi.org/10.1007/s10008-017-3833-7")</f>
        <v>http://dx.doi.org/10.1007/s10008-017-3833-7</v>
      </c>
    </row>
    <row r="835" spans="1:9" ht="60" x14ac:dyDescent="0.25">
      <c r="A835" s="2">
        <v>832</v>
      </c>
      <c r="B835" s="3" t="s">
        <v>1484</v>
      </c>
      <c r="C835" s="3" t="s">
        <v>2531</v>
      </c>
      <c r="D835" s="3" t="s">
        <v>2532</v>
      </c>
      <c r="E835" s="2">
        <v>2023</v>
      </c>
      <c r="F835" s="3" t="s">
        <v>325</v>
      </c>
      <c r="G835" s="2" t="s">
        <v>12</v>
      </c>
      <c r="H835" s="3" t="s">
        <v>698</v>
      </c>
      <c r="I835" s="10" t="str">
        <f>HYPERLINK("http://dx.doi.org/10.1134/S0036024423110031","http://dx.doi.org/10.1134/S0036024423110031")</f>
        <v>http://dx.doi.org/10.1134/S0036024423110031</v>
      </c>
    </row>
    <row r="836" spans="1:9" ht="75" x14ac:dyDescent="0.25">
      <c r="A836" s="2">
        <v>833</v>
      </c>
      <c r="B836" s="3" t="s">
        <v>2533</v>
      </c>
      <c r="C836" s="3" t="s">
        <v>20</v>
      </c>
      <c r="D836" s="3" t="s">
        <v>2534</v>
      </c>
      <c r="E836" s="2">
        <v>2022</v>
      </c>
      <c r="F836" s="3" t="s">
        <v>27</v>
      </c>
      <c r="G836" s="2" t="s">
        <v>12</v>
      </c>
      <c r="H836" s="3" t="s">
        <v>43</v>
      </c>
      <c r="I836" s="10" t="str">
        <f>HYPERLINK("http://dx.doi.org/10.3934/math.2022244","http://dx.doi.org/10.3934/math.2022244")</f>
        <v>http://dx.doi.org/10.3934/math.2022244</v>
      </c>
    </row>
    <row r="837" spans="1:9" ht="45" x14ac:dyDescent="0.25">
      <c r="A837" s="2">
        <v>834</v>
      </c>
      <c r="B837" s="3" t="s">
        <v>2457</v>
      </c>
      <c r="C837" s="3" t="s">
        <v>437</v>
      </c>
      <c r="D837" s="3" t="s">
        <v>2535</v>
      </c>
      <c r="E837" s="2">
        <v>2022</v>
      </c>
      <c r="F837" s="3" t="s">
        <v>2536</v>
      </c>
      <c r="G837" s="2" t="s">
        <v>12</v>
      </c>
      <c r="H837" s="3" t="s">
        <v>277</v>
      </c>
      <c r="I837" s="10" t="str">
        <f>HYPERLINK("http://dx.doi.org/10.1016/j.matpr.2022.04.240","http://dx.doi.org/10.1016/j.matpr.2022.04.240")</f>
        <v>http://dx.doi.org/10.1016/j.matpr.2022.04.240</v>
      </c>
    </row>
    <row r="838" spans="1:9" ht="105" x14ac:dyDescent="0.25">
      <c r="A838" s="2">
        <v>835</v>
      </c>
      <c r="B838" s="3" t="s">
        <v>2537</v>
      </c>
      <c r="C838" s="3" t="s">
        <v>1532</v>
      </c>
      <c r="D838" s="3" t="s">
        <v>2538</v>
      </c>
      <c r="E838" s="2">
        <v>2022</v>
      </c>
      <c r="F838" s="3" t="s">
        <v>1100</v>
      </c>
      <c r="G838" s="2" t="s">
        <v>12</v>
      </c>
      <c r="H838" s="3" t="s">
        <v>91</v>
      </c>
      <c r="I838" s="10" t="str">
        <f>HYPERLINK("http://dx.doi.org/10.1080/10406638.2021.1995008","http://dx.doi.org/10.1080/10406638.2021.1995008")</f>
        <v>http://dx.doi.org/10.1080/10406638.2021.1995008</v>
      </c>
    </row>
    <row r="839" spans="1:9" ht="105" x14ac:dyDescent="0.25">
      <c r="A839" s="2">
        <v>836</v>
      </c>
      <c r="B839" s="3" t="s">
        <v>2539</v>
      </c>
      <c r="C839" s="3" t="s">
        <v>817</v>
      </c>
      <c r="D839" s="3" t="s">
        <v>2540</v>
      </c>
      <c r="E839" s="2">
        <v>2018</v>
      </c>
      <c r="F839" s="3" t="s">
        <v>1704</v>
      </c>
      <c r="G839" s="2" t="s">
        <v>12</v>
      </c>
      <c r="H839" s="3" t="s">
        <v>181</v>
      </c>
      <c r="I839" s="10" t="str">
        <f>HYPERLINK("http://dx.doi.org/10.1016/j.electacta.2017.10.131","http://dx.doi.org/10.1016/j.electacta.2017.10.131")</f>
        <v>http://dx.doi.org/10.1016/j.electacta.2017.10.131</v>
      </c>
    </row>
    <row r="840" spans="1:9" ht="120" x14ac:dyDescent="0.25">
      <c r="A840" s="2">
        <v>837</v>
      </c>
      <c r="B840" s="3" t="s">
        <v>2541</v>
      </c>
      <c r="C840" s="3" t="s">
        <v>925</v>
      </c>
      <c r="D840" s="3" t="s">
        <v>2542</v>
      </c>
      <c r="E840" s="2">
        <v>2023</v>
      </c>
      <c r="F840" s="3" t="s">
        <v>325</v>
      </c>
      <c r="G840" s="2" t="s">
        <v>12</v>
      </c>
      <c r="H840" s="3" t="s">
        <v>799</v>
      </c>
      <c r="I840" s="10" t="str">
        <f>HYPERLINK("http://dx.doi.org/10.3390/antibiotics12111634","http://dx.doi.org/10.3390/antibiotics12111634")</f>
        <v>http://dx.doi.org/10.3390/antibiotics12111634</v>
      </c>
    </row>
    <row r="841" spans="1:9" ht="60" x14ac:dyDescent="0.25">
      <c r="A841" s="2">
        <v>838</v>
      </c>
      <c r="B841" s="3" t="s">
        <v>2543</v>
      </c>
      <c r="C841" s="3" t="s">
        <v>1152</v>
      </c>
      <c r="D841" s="3" t="s">
        <v>2544</v>
      </c>
      <c r="E841" s="2">
        <v>2022</v>
      </c>
      <c r="F841" s="3" t="s">
        <v>236</v>
      </c>
      <c r="G841" s="2" t="s">
        <v>12</v>
      </c>
      <c r="H841" s="3" t="s">
        <v>923</v>
      </c>
      <c r="I841" s="10" t="str">
        <f>HYPERLINK("http://dx.doi.org/10.1108/BL-01-2022-0001","http://dx.doi.org/10.1108/BL-01-2022-0001")</f>
        <v>http://dx.doi.org/10.1108/BL-01-2022-0001</v>
      </c>
    </row>
    <row r="842" spans="1:9" ht="60" x14ac:dyDescent="0.25">
      <c r="A842" s="2">
        <v>839</v>
      </c>
      <c r="B842" s="3" t="s">
        <v>2545</v>
      </c>
      <c r="C842" s="3" t="s">
        <v>1152</v>
      </c>
      <c r="D842" s="3" t="s">
        <v>2546</v>
      </c>
      <c r="E842" s="2">
        <v>2022</v>
      </c>
      <c r="F842" s="3" t="s">
        <v>2547</v>
      </c>
      <c r="G842" s="2" t="s">
        <v>12</v>
      </c>
      <c r="H842" s="3" t="s">
        <v>181</v>
      </c>
      <c r="I842" s="10" t="str">
        <f>HYPERLINK("http://dx.doi.org/10.1016/j.bmcl.2022.128747","http://dx.doi.org/10.1016/j.bmcl.2022.128747")</f>
        <v>http://dx.doi.org/10.1016/j.bmcl.2022.128747</v>
      </c>
    </row>
    <row r="843" spans="1:9" ht="120" x14ac:dyDescent="0.25">
      <c r="A843" s="2">
        <v>840</v>
      </c>
      <c r="B843" s="3" t="s">
        <v>2548</v>
      </c>
      <c r="C843" s="3" t="s">
        <v>2549</v>
      </c>
      <c r="D843" s="3" t="s">
        <v>2550</v>
      </c>
      <c r="E843" s="2">
        <v>2022</v>
      </c>
      <c r="F843" s="3" t="s">
        <v>1900</v>
      </c>
      <c r="G843" s="2" t="s">
        <v>12</v>
      </c>
      <c r="H843" s="3" t="s">
        <v>2551</v>
      </c>
      <c r="I843" s="10" t="s">
        <v>2552</v>
      </c>
    </row>
    <row r="844" spans="1:9" ht="75" x14ac:dyDescent="0.25">
      <c r="A844" s="2">
        <v>841</v>
      </c>
      <c r="B844" s="3" t="s">
        <v>2553</v>
      </c>
      <c r="C844" s="3" t="s">
        <v>225</v>
      </c>
      <c r="D844" s="3" t="s">
        <v>2554</v>
      </c>
      <c r="E844" s="2">
        <v>2023</v>
      </c>
      <c r="F844" s="3" t="s">
        <v>847</v>
      </c>
      <c r="G844" s="2" t="s">
        <v>12</v>
      </c>
      <c r="H844" s="3" t="s">
        <v>1202</v>
      </c>
      <c r="I844" s="10" t="str">
        <f>HYPERLINK("http://dx.doi.org/10.1016/j.jallcom.2023.169574","http://dx.doi.org/10.1016/j.jallcom.2023.169574")</f>
        <v>http://dx.doi.org/10.1016/j.jallcom.2023.169574</v>
      </c>
    </row>
    <row r="845" spans="1:9" ht="135" x14ac:dyDescent="0.25">
      <c r="A845" s="2">
        <v>842</v>
      </c>
      <c r="B845" s="3" t="s">
        <v>2555</v>
      </c>
      <c r="C845" s="3" t="s">
        <v>20</v>
      </c>
      <c r="D845" s="3" t="s">
        <v>2556</v>
      </c>
      <c r="E845" s="2">
        <v>2022</v>
      </c>
      <c r="F845" s="3" t="s">
        <v>2557</v>
      </c>
      <c r="G845" s="2" t="s">
        <v>12</v>
      </c>
      <c r="H845" s="3" t="s">
        <v>58</v>
      </c>
      <c r="I845" s="10" t="str">
        <f>HYPERLINK("http://dx.doi.org/10.1039/d2nj03838b","http://dx.doi.org/10.1039/d2nj03838b")</f>
        <v>http://dx.doi.org/10.1039/d2nj03838b</v>
      </c>
    </row>
    <row r="846" spans="1:9" ht="60" x14ac:dyDescent="0.25">
      <c r="A846" s="2">
        <v>843</v>
      </c>
      <c r="B846" s="3" t="s">
        <v>2493</v>
      </c>
      <c r="C846" s="3" t="s">
        <v>2558</v>
      </c>
      <c r="D846" s="3" t="s">
        <v>2559</v>
      </c>
      <c r="E846" s="2">
        <v>2021</v>
      </c>
      <c r="F846" s="3" t="s">
        <v>2560</v>
      </c>
      <c r="G846" s="2" t="s">
        <v>12</v>
      </c>
      <c r="H846" s="3" t="s">
        <v>181</v>
      </c>
      <c r="I846" s="10" t="str">
        <f>HYPERLINK("http://dx.doi.org/10.1016/j.chaos.2021.110931","http://dx.doi.org/10.1016/j.chaos.2021.110931")</f>
        <v>http://dx.doi.org/10.1016/j.chaos.2021.110931</v>
      </c>
    </row>
    <row r="847" spans="1:9" ht="60" x14ac:dyDescent="0.25">
      <c r="A847" s="2">
        <v>844</v>
      </c>
      <c r="B847" s="3" t="s">
        <v>2561</v>
      </c>
      <c r="C847" s="3" t="s">
        <v>2562</v>
      </c>
      <c r="D847" s="3" t="s">
        <v>2563</v>
      </c>
      <c r="E847" s="2">
        <v>2018</v>
      </c>
      <c r="F847" s="3" t="s">
        <v>2564</v>
      </c>
      <c r="G847" s="2" t="s">
        <v>12</v>
      </c>
      <c r="H847" s="3" t="s">
        <v>439</v>
      </c>
      <c r="I847" s="10" t="str">
        <f>HYPERLINK("http://dx.doi.org/10.1007/s00339-018-2025-3","http://dx.doi.org/10.1007/s00339-018-2025-3")</f>
        <v>http://dx.doi.org/10.1007/s00339-018-2025-3</v>
      </c>
    </row>
    <row r="848" spans="1:9" ht="75" x14ac:dyDescent="0.25">
      <c r="A848" s="2">
        <v>845</v>
      </c>
      <c r="B848" s="3" t="s">
        <v>2565</v>
      </c>
      <c r="C848" s="3" t="s">
        <v>2566</v>
      </c>
      <c r="D848" s="3" t="s">
        <v>2567</v>
      </c>
      <c r="E848" s="2">
        <v>2023</v>
      </c>
      <c r="F848" s="3" t="s">
        <v>704</v>
      </c>
      <c r="G848" s="2" t="s">
        <v>12</v>
      </c>
      <c r="H848" s="3" t="s">
        <v>181</v>
      </c>
      <c r="I848" s="10" t="str">
        <f>HYPERLINK("http://dx.doi.org/10.1016/j.apradiso.2023.110803","http://dx.doi.org/10.1016/j.apradiso.2023.110803")</f>
        <v>http://dx.doi.org/10.1016/j.apradiso.2023.110803</v>
      </c>
    </row>
    <row r="849" spans="1:9" ht="90" x14ac:dyDescent="0.25">
      <c r="A849" s="2">
        <v>846</v>
      </c>
      <c r="B849" s="3" t="s">
        <v>2568</v>
      </c>
      <c r="C849" s="3" t="s">
        <v>69</v>
      </c>
      <c r="D849" s="3" t="s">
        <v>2569</v>
      </c>
      <c r="E849" s="2">
        <v>2022</v>
      </c>
      <c r="F849" s="3" t="s">
        <v>2570</v>
      </c>
      <c r="G849" s="2" t="s">
        <v>12</v>
      </c>
      <c r="H849" s="3" t="s">
        <v>48</v>
      </c>
      <c r="I849" s="10" t="str">
        <f>HYPERLINK("http://dx.doi.org/10.1007/s10854-022-09332-0","http://dx.doi.org/10.1007/s10854-022-09332-0")</f>
        <v>http://dx.doi.org/10.1007/s10854-022-09332-0</v>
      </c>
    </row>
    <row r="850" spans="1:9" ht="90" x14ac:dyDescent="0.25">
      <c r="A850" s="2">
        <v>847</v>
      </c>
      <c r="B850" s="3" t="s">
        <v>2571</v>
      </c>
      <c r="C850" s="3" t="s">
        <v>317</v>
      </c>
      <c r="D850" s="3" t="s">
        <v>2572</v>
      </c>
      <c r="E850" s="2">
        <v>2022</v>
      </c>
      <c r="F850" s="3" t="s">
        <v>331</v>
      </c>
      <c r="G850" s="2" t="s">
        <v>12</v>
      </c>
      <c r="H850" s="3" t="s">
        <v>23</v>
      </c>
      <c r="I850" s="10" t="str">
        <f>HYPERLINK("http://dx.doi.org/10.1002/jccs.202200010","http://dx.doi.org/10.1002/jccs.202200010")</f>
        <v>http://dx.doi.org/10.1002/jccs.202200010</v>
      </c>
    </row>
    <row r="851" spans="1:9" ht="90" x14ac:dyDescent="0.25">
      <c r="A851" s="2">
        <v>848</v>
      </c>
      <c r="B851" s="3" t="s">
        <v>2573</v>
      </c>
      <c r="C851" s="3" t="s">
        <v>1456</v>
      </c>
      <c r="D851" s="3" t="s">
        <v>2574</v>
      </c>
      <c r="E851" s="2">
        <v>2022</v>
      </c>
      <c r="F851" s="3" t="s">
        <v>559</v>
      </c>
      <c r="G851" s="2" t="s">
        <v>12</v>
      </c>
      <c r="H851" s="3" t="s">
        <v>277</v>
      </c>
      <c r="I851" s="10" t="str">
        <f>HYPERLINK("http://dx.doi.org/10.1016/j.matpr.2022.05.447","http://dx.doi.org/10.1016/j.matpr.2022.05.447")</f>
        <v>http://dx.doi.org/10.1016/j.matpr.2022.05.447</v>
      </c>
    </row>
    <row r="852" spans="1:9" ht="105" x14ac:dyDescent="0.25">
      <c r="A852" s="2">
        <v>849</v>
      </c>
      <c r="B852" s="3" t="s">
        <v>2575</v>
      </c>
      <c r="C852" s="3" t="s">
        <v>1695</v>
      </c>
      <c r="D852" s="3" t="s">
        <v>2576</v>
      </c>
      <c r="E852" s="2">
        <v>2020</v>
      </c>
      <c r="F852" s="3" t="s">
        <v>2577</v>
      </c>
      <c r="G852" s="2" t="s">
        <v>12</v>
      </c>
      <c r="H852" s="3" t="s">
        <v>23</v>
      </c>
      <c r="I852" s="10" t="str">
        <f>HYPERLINK("http://dx.doi.org/10.1002/cbdv.201900577","http://dx.doi.org/10.1002/cbdv.201900577")</f>
        <v>http://dx.doi.org/10.1002/cbdv.201900577</v>
      </c>
    </row>
    <row r="853" spans="1:9" ht="105" x14ac:dyDescent="0.25">
      <c r="A853" s="2">
        <v>850</v>
      </c>
      <c r="B853" s="3" t="s">
        <v>2578</v>
      </c>
      <c r="C853" s="3" t="s">
        <v>437</v>
      </c>
      <c r="D853" s="3" t="s">
        <v>2579</v>
      </c>
      <c r="E853" s="2">
        <v>2023</v>
      </c>
      <c r="F853" s="3" t="s">
        <v>261</v>
      </c>
      <c r="G853" s="2" t="s">
        <v>12</v>
      </c>
      <c r="H853" s="3" t="s">
        <v>67</v>
      </c>
      <c r="I853" s="10" t="str">
        <f>HYPERLINK("http://dx.doi.org/10.1111/cbdd.13945","http://dx.doi.org/10.1111/cbdd.13945")</f>
        <v>http://dx.doi.org/10.1111/cbdd.13945</v>
      </c>
    </row>
    <row r="854" spans="1:9" ht="75" x14ac:dyDescent="0.25">
      <c r="A854" s="2">
        <v>851</v>
      </c>
      <c r="B854" s="3" t="s">
        <v>2580</v>
      </c>
      <c r="C854" s="3" t="s">
        <v>2581</v>
      </c>
      <c r="D854" s="3" t="s">
        <v>2582</v>
      </c>
      <c r="E854" s="2">
        <v>2020</v>
      </c>
      <c r="F854" s="3" t="s">
        <v>325</v>
      </c>
      <c r="G854" s="2" t="s">
        <v>12</v>
      </c>
      <c r="H854" s="3" t="s">
        <v>453</v>
      </c>
      <c r="I854" s="10" t="str">
        <f>HYPERLINK("http://dx.doi.org/10.3389/fmats.2020.00184","http://dx.doi.org/10.3389/fmats.2020.00184")</f>
        <v>http://dx.doi.org/10.3389/fmats.2020.00184</v>
      </c>
    </row>
    <row r="855" spans="1:9" ht="45" x14ac:dyDescent="0.25">
      <c r="A855" s="2">
        <v>852</v>
      </c>
      <c r="B855" s="3" t="s">
        <v>2583</v>
      </c>
      <c r="C855" s="3" t="s">
        <v>2584</v>
      </c>
      <c r="D855" s="3" t="s">
        <v>2585</v>
      </c>
      <c r="E855" s="2">
        <v>2018</v>
      </c>
      <c r="F855" s="3" t="s">
        <v>2586</v>
      </c>
      <c r="G855" s="2" t="s">
        <v>12</v>
      </c>
      <c r="H855" s="3" t="s">
        <v>686</v>
      </c>
      <c r="I855" s="10" t="str">
        <f>HYPERLINK("http://dx.doi.org/10.1016/j.matlet.2017.09.001","http://dx.doi.org/10.1016/j.matlet.2017.09.001")</f>
        <v>http://dx.doi.org/10.1016/j.matlet.2017.09.001</v>
      </c>
    </row>
    <row r="856" spans="1:9" ht="75" x14ac:dyDescent="0.25">
      <c r="A856" s="2">
        <v>853</v>
      </c>
      <c r="B856" s="3" t="s">
        <v>2587</v>
      </c>
      <c r="C856" s="3" t="s">
        <v>2588</v>
      </c>
      <c r="D856" s="3" t="s">
        <v>2589</v>
      </c>
      <c r="E856" s="2">
        <v>2023</v>
      </c>
      <c r="F856" s="3" t="s">
        <v>2590</v>
      </c>
      <c r="G856" s="2" t="s">
        <v>12</v>
      </c>
      <c r="H856" s="3" t="s">
        <v>33</v>
      </c>
      <c r="I856" s="10" t="str">
        <f>HYPERLINK("http://dx.doi.org/10.1016/j.jiec.2022.11.054","http://dx.doi.org/10.1016/j.jiec.2022.11.054")</f>
        <v>http://dx.doi.org/10.1016/j.jiec.2022.11.054</v>
      </c>
    </row>
    <row r="857" spans="1:9" ht="45" x14ac:dyDescent="0.25">
      <c r="A857" s="2">
        <v>854</v>
      </c>
      <c r="B857" s="3" t="s">
        <v>2493</v>
      </c>
      <c r="C857" s="3" t="s">
        <v>458</v>
      </c>
      <c r="D857" s="3" t="s">
        <v>2591</v>
      </c>
      <c r="E857" s="2">
        <v>2022</v>
      </c>
      <c r="F857" s="3" t="s">
        <v>261</v>
      </c>
      <c r="G857" s="2" t="s">
        <v>12</v>
      </c>
      <c r="H857" s="3" t="s">
        <v>583</v>
      </c>
      <c r="I857" s="10" t="str">
        <f>HYPERLINK("http://dx.doi.org/10.1155/2022/2798514","http://dx.doi.org/10.1155/2022/2798514")</f>
        <v>http://dx.doi.org/10.1155/2022/2798514</v>
      </c>
    </row>
    <row r="858" spans="1:9" ht="60" x14ac:dyDescent="0.25">
      <c r="A858" s="2">
        <v>855</v>
      </c>
      <c r="B858" s="3" t="s">
        <v>2592</v>
      </c>
      <c r="C858" s="3" t="s">
        <v>1532</v>
      </c>
      <c r="D858" s="3" t="s">
        <v>2593</v>
      </c>
      <c r="E858" s="2">
        <v>2022</v>
      </c>
      <c r="F858" s="3" t="s">
        <v>1093</v>
      </c>
      <c r="G858" s="2" t="s">
        <v>12</v>
      </c>
      <c r="H858" s="3" t="s">
        <v>439</v>
      </c>
      <c r="I858" s="10" t="str">
        <f>HYPERLINK("http://dx.doi.org/10.1007/s00339-022-05407-1","http://dx.doi.org/10.1007/s00339-022-05407-1")</f>
        <v>http://dx.doi.org/10.1007/s00339-022-05407-1</v>
      </c>
    </row>
    <row r="859" spans="1:9" ht="120" x14ac:dyDescent="0.25">
      <c r="A859" s="2">
        <v>856</v>
      </c>
      <c r="B859" s="3" t="s">
        <v>2594</v>
      </c>
      <c r="C859" s="3" t="s">
        <v>1149</v>
      </c>
      <c r="D859" s="3" t="s">
        <v>2595</v>
      </c>
      <c r="E859" s="2">
        <v>2022</v>
      </c>
      <c r="F859" s="3" t="s">
        <v>421</v>
      </c>
      <c r="G859" s="2" t="s">
        <v>12</v>
      </c>
      <c r="H859" s="3" t="s">
        <v>2596</v>
      </c>
      <c r="I859" s="10" t="str">
        <f>HYPERLINK("http://dx.doi.org/10.1016/j.jsamd.2022.100504","http://dx.doi.org/10.1016/j.jsamd.2022.100504")</f>
        <v>http://dx.doi.org/10.1016/j.jsamd.2022.100504</v>
      </c>
    </row>
    <row r="860" spans="1:9" ht="90" x14ac:dyDescent="0.25">
      <c r="A860" s="2">
        <v>857</v>
      </c>
      <c r="B860" s="3" t="s">
        <v>2597</v>
      </c>
      <c r="C860" s="3" t="s">
        <v>81</v>
      </c>
      <c r="D860" s="3" t="s">
        <v>2598</v>
      </c>
      <c r="E860" s="2">
        <v>2021</v>
      </c>
      <c r="F860" s="3" t="s">
        <v>757</v>
      </c>
      <c r="G860" s="2" t="s">
        <v>12</v>
      </c>
      <c r="H860" s="3" t="s">
        <v>1027</v>
      </c>
      <c r="I860" s="10" t="str">
        <f>HYPERLINK("http://dx.doi.org/10.1007/s12038-021-00231-w","http://dx.doi.org/10.1007/s12038-021-00231-w")</f>
        <v>http://dx.doi.org/10.1007/s12038-021-00231-w</v>
      </c>
    </row>
    <row r="861" spans="1:9" ht="60" x14ac:dyDescent="0.25">
      <c r="A861" s="2">
        <v>858</v>
      </c>
      <c r="B861" s="3" t="s">
        <v>2599</v>
      </c>
      <c r="C861" s="3" t="s">
        <v>1052</v>
      </c>
      <c r="D861" s="3" t="s">
        <v>2600</v>
      </c>
      <c r="E861" s="2">
        <v>2021</v>
      </c>
      <c r="F861" s="3" t="s">
        <v>1097</v>
      </c>
      <c r="G861" s="2" t="s">
        <v>12</v>
      </c>
      <c r="H861" s="3" t="s">
        <v>250</v>
      </c>
      <c r="I861" s="10" t="str">
        <f>HYPERLINK("http://dx.doi.org/10.6180/jase.202106_24(3).0007","http://dx.doi.org/10.6180/jase.202106_24(3).0007")</f>
        <v>http://dx.doi.org/10.6180/jase.202106_24(3).0007</v>
      </c>
    </row>
    <row r="862" spans="1:9" ht="90" x14ac:dyDescent="0.25">
      <c r="A862" s="2">
        <v>859</v>
      </c>
      <c r="B862" s="3" t="s">
        <v>2601</v>
      </c>
      <c r="C862" s="3" t="s">
        <v>2602</v>
      </c>
      <c r="D862" s="3" t="s">
        <v>2603</v>
      </c>
      <c r="E862" s="2">
        <v>2019</v>
      </c>
      <c r="F862" s="3" t="s">
        <v>1553</v>
      </c>
      <c r="G862" s="2" t="s">
        <v>12</v>
      </c>
      <c r="H862" s="3" t="s">
        <v>38</v>
      </c>
      <c r="I862" s="10" t="str">
        <f>HYPERLINK("http://dx.doi.org/10.2174/1389557518666180718124858","http://dx.doi.org/10.2174/1389557518666180718124858")</f>
        <v>http://dx.doi.org/10.2174/1389557518666180718124858</v>
      </c>
    </row>
    <row r="863" spans="1:9" ht="75" x14ac:dyDescent="0.25">
      <c r="A863" s="2">
        <v>860</v>
      </c>
      <c r="B863" s="3" t="s">
        <v>2604</v>
      </c>
      <c r="C863" s="3" t="s">
        <v>2605</v>
      </c>
      <c r="D863" s="3" t="s">
        <v>2606</v>
      </c>
      <c r="E863" s="2">
        <v>2018</v>
      </c>
      <c r="F863" s="3" t="s">
        <v>2607</v>
      </c>
      <c r="G863" s="2" t="s">
        <v>12</v>
      </c>
      <c r="H863" s="3" t="s">
        <v>72</v>
      </c>
      <c r="I863" s="10" t="s">
        <v>2608</v>
      </c>
    </row>
    <row r="864" spans="1:9" ht="150" x14ac:dyDescent="0.25">
      <c r="A864" s="2">
        <v>861</v>
      </c>
      <c r="B864" s="3" t="s">
        <v>2609</v>
      </c>
      <c r="C864" s="3" t="s">
        <v>25</v>
      </c>
      <c r="D864" s="3" t="s">
        <v>2610</v>
      </c>
      <c r="E864" s="2">
        <v>2023</v>
      </c>
      <c r="F864" s="3" t="s">
        <v>2611</v>
      </c>
      <c r="G864" s="2" t="s">
        <v>12</v>
      </c>
      <c r="H864" s="3" t="s">
        <v>91</v>
      </c>
      <c r="I864" s="10" t="str">
        <f>HYPERLINK("http://dx.doi.org/10.1080/10406638.2022.2046615","http://dx.doi.org/10.1080/10406638.2022.2046615")</f>
        <v>http://dx.doi.org/10.1080/10406638.2022.2046615</v>
      </c>
    </row>
    <row r="865" spans="1:9" ht="75" x14ac:dyDescent="0.25">
      <c r="A865" s="2">
        <v>862</v>
      </c>
      <c r="B865" s="3" t="s">
        <v>2612</v>
      </c>
      <c r="C865" s="3" t="s">
        <v>2613</v>
      </c>
      <c r="D865" s="3" t="s">
        <v>2614</v>
      </c>
      <c r="E865" s="2">
        <v>2018</v>
      </c>
      <c r="F865" s="3" t="s">
        <v>261</v>
      </c>
      <c r="G865" s="2" t="s">
        <v>12</v>
      </c>
      <c r="H865" s="3" t="s">
        <v>48</v>
      </c>
      <c r="I865" s="10" t="str">
        <f>HYPERLINK("http://dx.doi.org/10.1007/s11164-018-3490-1","http://dx.doi.org/10.1007/s11164-018-3490-1")</f>
        <v>http://dx.doi.org/10.1007/s11164-018-3490-1</v>
      </c>
    </row>
    <row r="866" spans="1:9" ht="60" x14ac:dyDescent="0.25">
      <c r="A866" s="2">
        <v>863</v>
      </c>
      <c r="B866" s="3" t="s">
        <v>2615</v>
      </c>
      <c r="C866" s="3" t="s">
        <v>1156</v>
      </c>
      <c r="D866" s="3" t="s">
        <v>2616</v>
      </c>
      <c r="E866" s="2">
        <v>2022</v>
      </c>
      <c r="F866" s="3" t="s">
        <v>1023</v>
      </c>
      <c r="G866" s="2" t="s">
        <v>12</v>
      </c>
      <c r="H866" s="3" t="s">
        <v>91</v>
      </c>
      <c r="I866" s="10" t="str">
        <f>HYPERLINK("http://dx.doi.org/10.1080/22297928.2022.2132877","http://dx.doi.org/10.1080/22297928.2022.2132877")</f>
        <v>http://dx.doi.org/10.1080/22297928.2022.2132877</v>
      </c>
    </row>
    <row r="867" spans="1:9" ht="90" x14ac:dyDescent="0.25">
      <c r="A867" s="2">
        <v>864</v>
      </c>
      <c r="B867" s="3" t="s">
        <v>2617</v>
      </c>
      <c r="C867" s="3" t="s">
        <v>1778</v>
      </c>
      <c r="D867" s="3" t="s">
        <v>2618</v>
      </c>
      <c r="E867" s="2">
        <v>2023</v>
      </c>
      <c r="F867" s="3" t="s">
        <v>261</v>
      </c>
      <c r="G867" s="2" t="s">
        <v>12</v>
      </c>
      <c r="H867" s="3" t="s">
        <v>48</v>
      </c>
      <c r="I867" s="10" t="str">
        <f>HYPERLINK("http://dx.doi.org/10.1007/s11164-023-05008-4","http://dx.doi.org/10.1007/s11164-023-05008-4")</f>
        <v>http://dx.doi.org/10.1007/s11164-023-05008-4</v>
      </c>
    </row>
    <row r="868" spans="1:9" ht="90" x14ac:dyDescent="0.25">
      <c r="A868" s="2">
        <v>865</v>
      </c>
      <c r="B868" s="3" t="s">
        <v>2619</v>
      </c>
      <c r="C868" s="3" t="s">
        <v>104</v>
      </c>
      <c r="D868" s="3" t="s">
        <v>2620</v>
      </c>
      <c r="E868" s="2">
        <v>2023</v>
      </c>
      <c r="F868" s="3" t="s">
        <v>1303</v>
      </c>
      <c r="G868" s="2" t="s">
        <v>12</v>
      </c>
      <c r="H868" s="3" t="s">
        <v>181</v>
      </c>
      <c r="I868" s="10" t="str">
        <f>HYPERLINK("http://dx.doi.org/10.1016/j.apradiso.2023.110688","http://dx.doi.org/10.1016/j.apradiso.2023.110688")</f>
        <v>http://dx.doi.org/10.1016/j.apradiso.2023.110688</v>
      </c>
    </row>
    <row r="869" spans="1:9" ht="75" x14ac:dyDescent="0.25">
      <c r="A869" s="2">
        <v>866</v>
      </c>
      <c r="B869" s="3" t="s">
        <v>1517</v>
      </c>
      <c r="C869" s="3" t="s">
        <v>1532</v>
      </c>
      <c r="D869" s="3" t="s">
        <v>2621</v>
      </c>
      <c r="E869" s="2">
        <v>2022</v>
      </c>
      <c r="F869" s="3" t="s">
        <v>2622</v>
      </c>
      <c r="G869" s="2" t="s">
        <v>12</v>
      </c>
      <c r="H869" s="3" t="s">
        <v>298</v>
      </c>
      <c r="I869" s="10" t="str">
        <f>HYPERLINK("http://dx.doi.org/10.1007/s11696-022-02438-z","http://dx.doi.org/10.1007/s11696-022-02438-z")</f>
        <v>http://dx.doi.org/10.1007/s11696-022-02438-z</v>
      </c>
    </row>
    <row r="870" spans="1:9" ht="105" x14ac:dyDescent="0.25">
      <c r="A870" s="2">
        <v>867</v>
      </c>
      <c r="B870" s="3" t="s">
        <v>2623</v>
      </c>
      <c r="C870" s="3" t="s">
        <v>2624</v>
      </c>
      <c r="D870" s="3" t="s">
        <v>2625</v>
      </c>
      <c r="E870" s="2">
        <v>2021</v>
      </c>
      <c r="F870" s="3" t="s">
        <v>2626</v>
      </c>
      <c r="G870" s="2" t="s">
        <v>12</v>
      </c>
      <c r="H870" s="3" t="s">
        <v>28</v>
      </c>
      <c r="I870" s="10" t="str">
        <f>HYPERLINK("http://dx.doi.org/10.1021/acsomega.1c04773","http://dx.doi.org/10.1021/acsomega.1c04773")</f>
        <v>http://dx.doi.org/10.1021/acsomega.1c04773</v>
      </c>
    </row>
    <row r="871" spans="1:9" ht="105" x14ac:dyDescent="0.25">
      <c r="A871" s="2">
        <v>868</v>
      </c>
      <c r="B871" s="3" t="s">
        <v>2627</v>
      </c>
      <c r="C871" s="3" t="s">
        <v>1969</v>
      </c>
      <c r="D871" s="3" t="s">
        <v>2628</v>
      </c>
      <c r="E871" s="2">
        <v>2023</v>
      </c>
      <c r="F871" s="3" t="s">
        <v>2629</v>
      </c>
      <c r="G871" s="2" t="s">
        <v>12</v>
      </c>
      <c r="H871" s="3" t="s">
        <v>923</v>
      </c>
      <c r="I871" s="10" t="str">
        <f>HYPERLINK("http://dx.doi.org/10.1108/JKM-12-2022-0939","http://dx.doi.org/10.1108/JKM-12-2022-0939")</f>
        <v>http://dx.doi.org/10.1108/JKM-12-2022-0939</v>
      </c>
    </row>
    <row r="872" spans="1:9" ht="60" x14ac:dyDescent="0.25">
      <c r="A872" s="2">
        <v>869</v>
      </c>
      <c r="B872" s="3" t="s">
        <v>2630</v>
      </c>
      <c r="C872" s="3" t="s">
        <v>1797</v>
      </c>
      <c r="D872" s="3" t="s">
        <v>2631</v>
      </c>
      <c r="E872" s="2">
        <v>2021</v>
      </c>
      <c r="F872" s="3" t="s">
        <v>1097</v>
      </c>
      <c r="G872" s="2" t="s">
        <v>12</v>
      </c>
      <c r="H872" s="3" t="s">
        <v>28</v>
      </c>
      <c r="I872" s="10" t="str">
        <f>HYPERLINK("http://dx.doi.org/10.1021/acsomega.1c03734","http://dx.doi.org/10.1021/acsomega.1c03734")</f>
        <v>http://dx.doi.org/10.1021/acsomega.1c03734</v>
      </c>
    </row>
    <row r="873" spans="1:9" ht="90" x14ac:dyDescent="0.25">
      <c r="A873" s="2">
        <v>870</v>
      </c>
      <c r="B873" s="3" t="s">
        <v>2632</v>
      </c>
      <c r="C873" s="3" t="s">
        <v>2633</v>
      </c>
      <c r="D873" s="3" t="s">
        <v>2634</v>
      </c>
      <c r="E873" s="2">
        <v>2018</v>
      </c>
      <c r="F873" s="3" t="s">
        <v>27</v>
      </c>
      <c r="G873" s="2" t="s">
        <v>12</v>
      </c>
      <c r="H873" s="3" t="s">
        <v>1202</v>
      </c>
      <c r="I873" s="10" t="str">
        <f>HYPERLINK("http://dx.doi.org/10.1016/j.snb.2017.12.160","http://dx.doi.org/10.1016/j.snb.2017.12.160")</f>
        <v>http://dx.doi.org/10.1016/j.snb.2017.12.160</v>
      </c>
    </row>
    <row r="874" spans="1:9" ht="75" x14ac:dyDescent="0.25">
      <c r="A874" s="2">
        <v>871</v>
      </c>
      <c r="B874" s="3" t="s">
        <v>2635</v>
      </c>
      <c r="C874" s="3" t="s">
        <v>2636</v>
      </c>
      <c r="D874" s="3" t="s">
        <v>2637</v>
      </c>
      <c r="E874" s="2">
        <v>2022</v>
      </c>
      <c r="F874" s="3" t="s">
        <v>2638</v>
      </c>
      <c r="G874" s="2" t="s">
        <v>12</v>
      </c>
      <c r="H874" s="3" t="s">
        <v>277</v>
      </c>
      <c r="I874" s="10" t="str">
        <f>HYPERLINK("http://dx.doi.org/10.1016/j.matpr.2022.07.100","http://dx.doi.org/10.1016/j.matpr.2022.07.100")</f>
        <v>http://dx.doi.org/10.1016/j.matpr.2022.07.100</v>
      </c>
    </row>
    <row r="875" spans="1:9" ht="60" x14ac:dyDescent="0.25">
      <c r="A875" s="2">
        <v>872</v>
      </c>
      <c r="B875" s="3" t="s">
        <v>2639</v>
      </c>
      <c r="C875" s="3" t="s">
        <v>2640</v>
      </c>
      <c r="D875" s="3" t="s">
        <v>2641</v>
      </c>
      <c r="E875" s="2">
        <v>2020</v>
      </c>
      <c r="F875" s="3" t="s">
        <v>2590</v>
      </c>
      <c r="G875" s="2" t="s">
        <v>12</v>
      </c>
      <c r="H875" s="3" t="s">
        <v>48</v>
      </c>
      <c r="I875" s="10" t="str">
        <f>HYPERLINK("http://dx.doi.org/10.1007/s10854-020-03543-z","http://dx.doi.org/10.1007/s10854-020-03543-z")</f>
        <v>http://dx.doi.org/10.1007/s10854-020-03543-z</v>
      </c>
    </row>
    <row r="876" spans="1:9" ht="60" x14ac:dyDescent="0.25">
      <c r="A876" s="2">
        <v>873</v>
      </c>
      <c r="B876" s="3" t="s">
        <v>2642</v>
      </c>
      <c r="C876" s="3" t="s">
        <v>925</v>
      </c>
      <c r="D876" s="3" t="s">
        <v>2643</v>
      </c>
      <c r="E876" s="2">
        <v>2018</v>
      </c>
      <c r="F876" s="3" t="s">
        <v>261</v>
      </c>
      <c r="G876" s="2" t="s">
        <v>12</v>
      </c>
      <c r="H876" s="3" t="s">
        <v>2644</v>
      </c>
      <c r="I876" s="10" t="str">
        <f>HYPERLINK("http://dx.doi.org/10.1016/j.ijleo.2017.10.107","http://dx.doi.org/10.1016/j.ijleo.2017.10.107")</f>
        <v>http://dx.doi.org/10.1016/j.ijleo.2017.10.107</v>
      </c>
    </row>
    <row r="877" spans="1:9" ht="90" x14ac:dyDescent="0.25">
      <c r="A877" s="2">
        <v>874</v>
      </c>
      <c r="B877" s="3" t="s">
        <v>2645</v>
      </c>
      <c r="C877" s="3" t="s">
        <v>2646</v>
      </c>
      <c r="D877" s="3" t="s">
        <v>2647</v>
      </c>
      <c r="E877" s="2">
        <v>2018</v>
      </c>
      <c r="F877" s="3" t="s">
        <v>2648</v>
      </c>
      <c r="G877" s="2" t="s">
        <v>12</v>
      </c>
      <c r="H877" s="3" t="s">
        <v>23</v>
      </c>
      <c r="I877" s="10" t="str">
        <f>HYPERLINK("http://dx.doi.org/10.1002/pssa.201700956","http://dx.doi.org/10.1002/pssa.201700956")</f>
        <v>http://dx.doi.org/10.1002/pssa.201700956</v>
      </c>
    </row>
    <row r="878" spans="1:9" ht="90" x14ac:dyDescent="0.25">
      <c r="A878" s="2">
        <v>875</v>
      </c>
      <c r="B878" s="3" t="s">
        <v>2649</v>
      </c>
      <c r="C878" s="3" t="s">
        <v>362</v>
      </c>
      <c r="D878" s="3" t="s">
        <v>2650</v>
      </c>
      <c r="E878" s="2">
        <v>2022</v>
      </c>
      <c r="F878" s="3" t="s">
        <v>2371</v>
      </c>
      <c r="G878" s="2" t="s">
        <v>12</v>
      </c>
      <c r="H878" s="3" t="s">
        <v>2596</v>
      </c>
      <c r="I878" s="10" t="str">
        <f>HYPERLINK("http://dx.doi.org/10.1016/j.jsamd.2021.08.004","http://dx.doi.org/10.1016/j.jsamd.2021.08.004")</f>
        <v>http://dx.doi.org/10.1016/j.jsamd.2021.08.004</v>
      </c>
    </row>
    <row r="879" spans="1:9" ht="105" x14ac:dyDescent="0.25">
      <c r="A879" s="2">
        <v>876</v>
      </c>
      <c r="B879" s="3" t="s">
        <v>2651</v>
      </c>
      <c r="C879" s="3" t="s">
        <v>81</v>
      </c>
      <c r="D879" s="3" t="s">
        <v>2652</v>
      </c>
      <c r="E879" s="2">
        <v>2020</v>
      </c>
      <c r="F879" s="3" t="s">
        <v>2653</v>
      </c>
      <c r="G879" s="2" t="s">
        <v>12</v>
      </c>
      <c r="H879" s="3" t="s">
        <v>2654</v>
      </c>
      <c r="I879" s="10" t="str">
        <f>HYPERLINK("http://dx.doi.org/10.1088/2053-1591/ab6c9c","http://dx.doi.org/10.1088/2053-1591/ab6c9c")</f>
        <v>http://dx.doi.org/10.1088/2053-1591/ab6c9c</v>
      </c>
    </row>
    <row r="880" spans="1:9" ht="75" x14ac:dyDescent="0.25">
      <c r="A880" s="2">
        <v>877</v>
      </c>
      <c r="B880" s="3" t="s">
        <v>2655</v>
      </c>
      <c r="C880" s="3" t="s">
        <v>2656</v>
      </c>
      <c r="D880" s="3" t="s">
        <v>2657</v>
      </c>
      <c r="E880" s="2">
        <v>2018</v>
      </c>
      <c r="F880" s="3" t="s">
        <v>261</v>
      </c>
      <c r="G880" s="2" t="s">
        <v>12</v>
      </c>
      <c r="H880" s="3" t="s">
        <v>91</v>
      </c>
      <c r="I880" s="10" t="str">
        <f>HYPERLINK("http://dx.doi.org/10.1080/10420150.2018.1439492","http://dx.doi.org/10.1080/10420150.2018.1439492")</f>
        <v>http://dx.doi.org/10.1080/10420150.2018.1439492</v>
      </c>
    </row>
    <row r="881" spans="1:9" ht="75" x14ac:dyDescent="0.25">
      <c r="A881" s="2">
        <v>878</v>
      </c>
      <c r="B881" s="3" t="s">
        <v>2658</v>
      </c>
      <c r="C881" s="3" t="s">
        <v>40</v>
      </c>
      <c r="D881" s="3" t="s">
        <v>2659</v>
      </c>
      <c r="E881" s="2">
        <v>2023</v>
      </c>
      <c r="F881" s="3" t="s">
        <v>1776</v>
      </c>
      <c r="G881" s="2" t="s">
        <v>12</v>
      </c>
      <c r="H881" s="3" t="s">
        <v>1360</v>
      </c>
      <c r="I881" s="10" t="str">
        <f>HYPERLINK("http://dx.doi.org/10.1109/ACCESS.2023.3266375","http://dx.doi.org/10.1109/ACCESS.2023.3266375")</f>
        <v>http://dx.doi.org/10.1109/ACCESS.2023.3266375</v>
      </c>
    </row>
    <row r="882" spans="1:9" ht="90" x14ac:dyDescent="0.25">
      <c r="A882" s="2">
        <v>879</v>
      </c>
      <c r="B882" s="3" t="s">
        <v>2660</v>
      </c>
      <c r="C882" s="3" t="s">
        <v>104</v>
      </c>
      <c r="D882" s="3" t="s">
        <v>2661</v>
      </c>
      <c r="E882" s="2">
        <v>2023</v>
      </c>
      <c r="F882" s="3" t="s">
        <v>261</v>
      </c>
      <c r="G882" s="2" t="s">
        <v>12</v>
      </c>
      <c r="H882" s="3" t="s">
        <v>277</v>
      </c>
      <c r="I882" s="10" t="str">
        <f>HYPERLINK("http://dx.doi.org/10.1016/j.ejmcr.2023.100109","http://dx.doi.org/10.1016/j.ejmcr.2023.100109")</f>
        <v>http://dx.doi.org/10.1016/j.ejmcr.2023.100109</v>
      </c>
    </row>
    <row r="883" spans="1:9" ht="120" x14ac:dyDescent="0.25">
      <c r="A883" s="2">
        <v>880</v>
      </c>
      <c r="B883" s="3" t="s">
        <v>2662</v>
      </c>
      <c r="C883" s="3" t="s">
        <v>2663</v>
      </c>
      <c r="D883" s="3" t="s">
        <v>2664</v>
      </c>
      <c r="E883" s="2">
        <v>2023</v>
      </c>
      <c r="F883" s="3" t="s">
        <v>2665</v>
      </c>
      <c r="G883" s="2" t="s">
        <v>12</v>
      </c>
      <c r="H883" s="3" t="s">
        <v>2666</v>
      </c>
      <c r="I883" s="10" t="str">
        <f>HYPERLINK("http://dx.doi.org/10.1149/2162-8777/acd1af","http://dx.doi.org/10.1149/2162-8777/acd1af")</f>
        <v>http://dx.doi.org/10.1149/2162-8777/acd1af</v>
      </c>
    </row>
    <row r="884" spans="1:9" ht="75" x14ac:dyDescent="0.25">
      <c r="A884" s="2">
        <v>881</v>
      </c>
      <c r="B884" s="3" t="s">
        <v>2667</v>
      </c>
      <c r="C884" s="3" t="s">
        <v>2668</v>
      </c>
      <c r="D884" s="3" t="s">
        <v>2669</v>
      </c>
      <c r="E884" s="2">
        <v>2023</v>
      </c>
      <c r="F884" s="3" t="s">
        <v>27</v>
      </c>
      <c r="G884" s="2" t="s">
        <v>12</v>
      </c>
      <c r="H884" s="3" t="s">
        <v>48</v>
      </c>
      <c r="I884" s="10" t="str">
        <f>HYPERLINK("http://dx.doi.org/10.1007/s10904-023-02755-0","http://dx.doi.org/10.1007/s10904-023-02755-0")</f>
        <v>http://dx.doi.org/10.1007/s10904-023-02755-0</v>
      </c>
    </row>
    <row r="885" spans="1:9" ht="75" x14ac:dyDescent="0.25">
      <c r="A885" s="2">
        <v>882</v>
      </c>
      <c r="B885" s="3" t="s">
        <v>2670</v>
      </c>
      <c r="C885" s="3" t="s">
        <v>1744</v>
      </c>
      <c r="D885" s="3" t="s">
        <v>2671</v>
      </c>
      <c r="E885" s="2">
        <v>2021</v>
      </c>
      <c r="F885" s="3" t="s">
        <v>1776</v>
      </c>
      <c r="G885" s="2" t="s">
        <v>12</v>
      </c>
      <c r="H885" s="3" t="s">
        <v>48</v>
      </c>
      <c r="I885" s="10" t="str">
        <f>HYPERLINK("http://dx.doi.org/10.1007/s10853-020-05285-z","http://dx.doi.org/10.1007/s10853-020-05285-z")</f>
        <v>http://dx.doi.org/10.1007/s10853-020-05285-z</v>
      </c>
    </row>
    <row r="886" spans="1:9" ht="90" x14ac:dyDescent="0.25">
      <c r="A886" s="2">
        <v>883</v>
      </c>
      <c r="B886" s="3" t="s">
        <v>2672</v>
      </c>
      <c r="C886" s="3" t="s">
        <v>1149</v>
      </c>
      <c r="D886" s="3" t="s">
        <v>2673</v>
      </c>
      <c r="E886" s="2">
        <v>2020</v>
      </c>
      <c r="F886" s="3" t="s">
        <v>1097</v>
      </c>
      <c r="G886" s="2" t="s">
        <v>12</v>
      </c>
      <c r="H886" s="3" t="s">
        <v>18</v>
      </c>
      <c r="I886" s="10" t="str">
        <f>HYPERLINK("http://dx.doi.org/10.1007/s42452-020-3053-0","http://dx.doi.org/10.1007/s42452-020-3053-0")</f>
        <v>http://dx.doi.org/10.1007/s42452-020-3053-0</v>
      </c>
    </row>
    <row r="887" spans="1:9" ht="90" x14ac:dyDescent="0.25">
      <c r="A887" s="2">
        <v>884</v>
      </c>
      <c r="B887" s="3" t="s">
        <v>2674</v>
      </c>
      <c r="C887" s="3" t="s">
        <v>461</v>
      </c>
      <c r="D887" s="3" t="s">
        <v>2675</v>
      </c>
      <c r="E887" s="2">
        <v>2019</v>
      </c>
      <c r="F887" s="3" t="s">
        <v>1776</v>
      </c>
      <c r="G887" s="2" t="s">
        <v>12</v>
      </c>
      <c r="H887" s="3" t="s">
        <v>686</v>
      </c>
      <c r="I887" s="10" t="str">
        <f>HYPERLINK("http://dx.doi.org/10.1016/j.molstruc.2019.06.056","http://dx.doi.org/10.1016/j.molstruc.2019.06.056")</f>
        <v>http://dx.doi.org/10.1016/j.molstruc.2019.06.056</v>
      </c>
    </row>
    <row r="888" spans="1:9" ht="90" x14ac:dyDescent="0.25">
      <c r="A888" s="2">
        <v>885</v>
      </c>
      <c r="B888" s="3" t="s">
        <v>2676</v>
      </c>
      <c r="C888" s="3" t="s">
        <v>817</v>
      </c>
      <c r="D888" s="3" t="s">
        <v>2677</v>
      </c>
      <c r="E888" s="2">
        <v>2019</v>
      </c>
      <c r="F888" s="3" t="s">
        <v>261</v>
      </c>
      <c r="G888" s="2" t="s">
        <v>12</v>
      </c>
      <c r="H888" s="3" t="s">
        <v>91</v>
      </c>
      <c r="I888" s="10" t="str">
        <f>HYPERLINK("http://dx.doi.org/10.1080/16583655.2019.1622846","http://dx.doi.org/10.1080/16583655.2019.1622846")</f>
        <v>http://dx.doi.org/10.1080/16583655.2019.1622846</v>
      </c>
    </row>
    <row r="889" spans="1:9" ht="120" x14ac:dyDescent="0.25">
      <c r="A889" s="2">
        <v>886</v>
      </c>
      <c r="B889" s="3" t="s">
        <v>2678</v>
      </c>
      <c r="C889" s="3" t="s">
        <v>1152</v>
      </c>
      <c r="D889" s="3" t="s">
        <v>2679</v>
      </c>
      <c r="E889" s="2">
        <v>2021</v>
      </c>
      <c r="F889" s="3" t="s">
        <v>1704</v>
      </c>
      <c r="G889" s="2" t="s">
        <v>12</v>
      </c>
      <c r="H889" s="3" t="s">
        <v>91</v>
      </c>
      <c r="I889" s="10" t="str">
        <f>HYPERLINK("http://dx.doi.org/10.1080/01411594.2021.1993221","http://dx.doi.org/10.1080/01411594.2021.1993221")</f>
        <v>http://dx.doi.org/10.1080/01411594.2021.1993221</v>
      </c>
    </row>
    <row r="890" spans="1:9" ht="60" x14ac:dyDescent="0.25">
      <c r="A890" s="2">
        <v>887</v>
      </c>
      <c r="B890" s="3" t="s">
        <v>2680</v>
      </c>
      <c r="C890" s="3" t="s">
        <v>1624</v>
      </c>
      <c r="D890" s="3" t="s">
        <v>2681</v>
      </c>
      <c r="E890" s="2">
        <v>2019</v>
      </c>
      <c r="F890" s="3" t="s">
        <v>2682</v>
      </c>
      <c r="G890" s="2" t="s">
        <v>12</v>
      </c>
      <c r="H890" s="3" t="s">
        <v>48</v>
      </c>
      <c r="I890" s="10" t="str">
        <f>HYPERLINK("http://dx.doi.org/10.1007/s10854-019-01433-7","http://dx.doi.org/10.1007/s10854-019-01433-7")</f>
        <v>http://dx.doi.org/10.1007/s10854-019-01433-7</v>
      </c>
    </row>
    <row r="891" spans="1:9" ht="60" x14ac:dyDescent="0.25">
      <c r="A891" s="2">
        <v>888</v>
      </c>
      <c r="B891" s="3" t="s">
        <v>2683</v>
      </c>
      <c r="C891" s="3" t="s">
        <v>2684</v>
      </c>
      <c r="D891" s="3" t="s">
        <v>2685</v>
      </c>
      <c r="E891" s="2">
        <v>2018</v>
      </c>
      <c r="F891" s="3" t="s">
        <v>941</v>
      </c>
      <c r="G891" s="2" t="s">
        <v>12</v>
      </c>
      <c r="H891" s="3" t="s">
        <v>1202</v>
      </c>
      <c r="I891" s="10" t="str">
        <f>HYPERLINK("http://dx.doi.org/10.1016/j.snb.2017.10.147","http://dx.doi.org/10.1016/j.snb.2017.10.147")</f>
        <v>http://dx.doi.org/10.1016/j.snb.2017.10.147</v>
      </c>
    </row>
    <row r="892" spans="1:9" ht="75" x14ac:dyDescent="0.25">
      <c r="A892" s="2">
        <v>889</v>
      </c>
      <c r="B892" s="3" t="s">
        <v>2686</v>
      </c>
      <c r="C892" s="3" t="s">
        <v>2687</v>
      </c>
      <c r="D892" s="3" t="s">
        <v>2688</v>
      </c>
      <c r="E892" s="2">
        <v>2022</v>
      </c>
      <c r="F892" s="3" t="s">
        <v>1444</v>
      </c>
      <c r="G892" s="2" t="s">
        <v>12</v>
      </c>
      <c r="H892" s="3" t="s">
        <v>48</v>
      </c>
      <c r="I892" s="10" t="str">
        <f>HYPERLINK("http://dx.doi.org/10.1007/s10854-022-08698-5","http://dx.doi.org/10.1007/s10854-022-08698-5")</f>
        <v>http://dx.doi.org/10.1007/s10854-022-08698-5</v>
      </c>
    </row>
    <row r="893" spans="1:9" ht="60" x14ac:dyDescent="0.25">
      <c r="A893" s="2">
        <v>890</v>
      </c>
      <c r="B893" s="3" t="s">
        <v>2689</v>
      </c>
      <c r="C893" s="3" t="s">
        <v>2690</v>
      </c>
      <c r="D893" s="3" t="s">
        <v>2691</v>
      </c>
      <c r="E893" s="2">
        <v>2021</v>
      </c>
      <c r="F893" s="3" t="s">
        <v>757</v>
      </c>
      <c r="G893" s="2" t="s">
        <v>12</v>
      </c>
      <c r="H893" s="3" t="s">
        <v>23</v>
      </c>
      <c r="I893" s="10" t="str">
        <f>HYPERLINK("http://dx.doi.org/10.1002/masy.202100112","http://dx.doi.org/10.1002/masy.202100112")</f>
        <v>http://dx.doi.org/10.1002/masy.202100112</v>
      </c>
    </row>
    <row r="894" spans="1:9" ht="105" x14ac:dyDescent="0.25">
      <c r="A894" s="2">
        <v>891</v>
      </c>
      <c r="B894" s="3" t="s">
        <v>2674</v>
      </c>
      <c r="C894" s="3" t="s">
        <v>1079</v>
      </c>
      <c r="D894" s="3" t="s">
        <v>2692</v>
      </c>
      <c r="E894" s="2">
        <v>2019</v>
      </c>
      <c r="F894" s="3" t="s">
        <v>1900</v>
      </c>
      <c r="G894" s="2" t="s">
        <v>12</v>
      </c>
      <c r="H894" s="3" t="s">
        <v>686</v>
      </c>
      <c r="I894" s="10" t="str">
        <f>HYPERLINK("http://dx.doi.org/10.1016/j.molstruc.2019.05.068","http://dx.doi.org/10.1016/j.molstruc.2019.05.068")</f>
        <v>http://dx.doi.org/10.1016/j.molstruc.2019.05.068</v>
      </c>
    </row>
    <row r="895" spans="1:9" ht="75" x14ac:dyDescent="0.25">
      <c r="A895" s="2">
        <v>892</v>
      </c>
      <c r="B895" s="3" t="s">
        <v>2693</v>
      </c>
      <c r="C895" s="3" t="s">
        <v>2694</v>
      </c>
      <c r="D895" s="3" t="s">
        <v>2695</v>
      </c>
      <c r="E895" s="2">
        <v>2018</v>
      </c>
      <c r="F895" s="3" t="s">
        <v>2696</v>
      </c>
      <c r="G895" s="2" t="s">
        <v>12</v>
      </c>
      <c r="H895" s="3" t="s">
        <v>1637</v>
      </c>
      <c r="I895" s="10" t="str">
        <f>HYPERLINK("http://dx.doi.org/10.1088/2053-1591/aab3eb","http://dx.doi.org/10.1088/2053-1591/aab3eb")</f>
        <v>http://dx.doi.org/10.1088/2053-1591/aab3eb</v>
      </c>
    </row>
    <row r="896" spans="1:9" ht="105" x14ac:dyDescent="0.25">
      <c r="A896" s="2">
        <v>893</v>
      </c>
      <c r="B896" s="3" t="s">
        <v>2697</v>
      </c>
      <c r="C896" s="3" t="s">
        <v>1370</v>
      </c>
      <c r="D896" s="3" t="s">
        <v>2698</v>
      </c>
      <c r="E896" s="2">
        <v>2023</v>
      </c>
      <c r="F896" s="3" t="s">
        <v>1097</v>
      </c>
      <c r="G896" s="2" t="s">
        <v>12</v>
      </c>
      <c r="H896" s="3" t="s">
        <v>698</v>
      </c>
      <c r="I896" s="10" t="str">
        <f>HYPERLINK("http://dx.doi.org/10.1134/S1068162023060201","http://dx.doi.org/10.1134/S1068162023060201")</f>
        <v>http://dx.doi.org/10.1134/S1068162023060201</v>
      </c>
    </row>
    <row r="897" spans="1:9" ht="105" x14ac:dyDescent="0.25">
      <c r="A897" s="2">
        <v>894</v>
      </c>
      <c r="B897" s="3" t="s">
        <v>2699</v>
      </c>
      <c r="C897" s="3" t="s">
        <v>2700</v>
      </c>
      <c r="D897" s="3" t="s">
        <v>2701</v>
      </c>
      <c r="E897" s="2">
        <v>2021</v>
      </c>
      <c r="F897" s="3" t="s">
        <v>2488</v>
      </c>
      <c r="G897" s="2" t="s">
        <v>12</v>
      </c>
      <c r="H897" s="3" t="s">
        <v>1202</v>
      </c>
      <c r="I897" s="10" t="str">
        <f>HYPERLINK("http://dx.doi.org/10.1016/j.tsf.2021.138710","http://dx.doi.org/10.1016/j.tsf.2021.138710")</f>
        <v>http://dx.doi.org/10.1016/j.tsf.2021.138710</v>
      </c>
    </row>
    <row r="898" spans="1:9" ht="75" x14ac:dyDescent="0.25">
      <c r="A898" s="2">
        <v>895</v>
      </c>
      <c r="B898" s="3" t="s">
        <v>2702</v>
      </c>
      <c r="C898" s="3" t="s">
        <v>2703</v>
      </c>
      <c r="D898" s="3" t="s">
        <v>2704</v>
      </c>
      <c r="E898" s="2">
        <v>2023</v>
      </c>
      <c r="F898" s="3" t="s">
        <v>261</v>
      </c>
      <c r="G898" s="2" t="s">
        <v>12</v>
      </c>
      <c r="H898" s="3" t="s">
        <v>23</v>
      </c>
      <c r="I898" s="10" t="str">
        <f>HYPERLINK("http://dx.doi.org/10.1002/slct.202301975","http://dx.doi.org/10.1002/slct.202301975")</f>
        <v>http://dx.doi.org/10.1002/slct.202301975</v>
      </c>
    </row>
    <row r="899" spans="1:9" ht="75" x14ac:dyDescent="0.25">
      <c r="A899" s="2">
        <v>896</v>
      </c>
      <c r="B899" s="3" t="s">
        <v>2705</v>
      </c>
      <c r="C899" s="3" t="s">
        <v>2706</v>
      </c>
      <c r="D899" s="3" t="s">
        <v>2707</v>
      </c>
      <c r="E899" s="2">
        <v>2018</v>
      </c>
      <c r="F899" s="3" t="s">
        <v>2708</v>
      </c>
      <c r="G899" s="2" t="s">
        <v>12</v>
      </c>
      <c r="H899" s="3" t="s">
        <v>453</v>
      </c>
      <c r="I899" s="10" t="str">
        <f>HYPERLINK("http://dx.doi.org/10.3389/fchem.2018.00451","http://dx.doi.org/10.3389/fchem.2018.00451")</f>
        <v>http://dx.doi.org/10.3389/fchem.2018.00451</v>
      </c>
    </row>
    <row r="900" spans="1:9" ht="105" x14ac:dyDescent="0.25">
      <c r="A900" s="2">
        <v>897</v>
      </c>
      <c r="B900" s="3" t="s">
        <v>1492</v>
      </c>
      <c r="C900" s="3" t="s">
        <v>1152</v>
      </c>
      <c r="D900" s="3" t="s">
        <v>2709</v>
      </c>
      <c r="E900" s="2">
        <v>2018</v>
      </c>
      <c r="F900" s="3" t="s">
        <v>2710</v>
      </c>
      <c r="G900" s="2" t="s">
        <v>12</v>
      </c>
      <c r="H900" s="3" t="s">
        <v>1637</v>
      </c>
      <c r="I900" s="10" t="str">
        <f>HYPERLINK("http://dx.doi.org/10.1088/2053-1591/aab2f8","http://dx.doi.org/10.1088/2053-1591/aab2f8")</f>
        <v>http://dx.doi.org/10.1088/2053-1591/aab2f8</v>
      </c>
    </row>
    <row r="901" spans="1:9" ht="105" x14ac:dyDescent="0.25">
      <c r="A901" s="2">
        <v>898</v>
      </c>
      <c r="B901" s="3" t="s">
        <v>2711</v>
      </c>
      <c r="C901" s="3" t="s">
        <v>25</v>
      </c>
      <c r="D901" s="3" t="s">
        <v>2712</v>
      </c>
      <c r="E901" s="2">
        <v>2023</v>
      </c>
      <c r="F901" s="3" t="s">
        <v>2536</v>
      </c>
      <c r="G901" s="2" t="s">
        <v>12</v>
      </c>
      <c r="H901" s="3" t="s">
        <v>277</v>
      </c>
      <c r="I901" s="10" t="str">
        <f>HYPERLINK("http://dx.doi.org/10.1016/j.molstruc.2023.136146","http://dx.doi.org/10.1016/j.molstruc.2023.136146")</f>
        <v>http://dx.doi.org/10.1016/j.molstruc.2023.136146</v>
      </c>
    </row>
    <row r="902" spans="1:9" ht="60" x14ac:dyDescent="0.25">
      <c r="A902" s="2">
        <v>899</v>
      </c>
      <c r="B902" s="3" t="s">
        <v>2713</v>
      </c>
      <c r="C902" s="3" t="s">
        <v>265</v>
      </c>
      <c r="D902" s="3" t="s">
        <v>2714</v>
      </c>
      <c r="E902" s="2">
        <v>2022</v>
      </c>
      <c r="F902" s="3" t="s">
        <v>2715</v>
      </c>
      <c r="G902" s="2" t="s">
        <v>12</v>
      </c>
      <c r="H902" s="3" t="s">
        <v>277</v>
      </c>
      <c r="I902" s="10" t="str">
        <f>HYPERLINK("http://dx.doi.org/10.1016/j.matpr.2022.05.239","http://dx.doi.org/10.1016/j.matpr.2022.05.239")</f>
        <v>http://dx.doi.org/10.1016/j.matpr.2022.05.239</v>
      </c>
    </row>
    <row r="903" spans="1:9" ht="75" x14ac:dyDescent="0.25">
      <c r="A903" s="2">
        <v>900</v>
      </c>
      <c r="B903" s="3" t="s">
        <v>2716</v>
      </c>
      <c r="C903" s="3" t="s">
        <v>2668</v>
      </c>
      <c r="D903" s="3" t="s">
        <v>2717</v>
      </c>
      <c r="E903" s="2">
        <v>2021</v>
      </c>
      <c r="F903" s="3" t="s">
        <v>1857</v>
      </c>
      <c r="G903" s="2" t="s">
        <v>12</v>
      </c>
      <c r="H903" s="3" t="s">
        <v>439</v>
      </c>
      <c r="I903" s="10" t="str">
        <f>HYPERLINK("http://dx.doi.org/10.1007/s00339-021-04837-7","http://dx.doi.org/10.1007/s00339-021-04837-7")</f>
        <v>http://dx.doi.org/10.1007/s00339-021-04837-7</v>
      </c>
    </row>
    <row r="904" spans="1:9" ht="105" x14ac:dyDescent="0.25">
      <c r="A904" s="2">
        <v>901</v>
      </c>
      <c r="B904" s="3" t="s">
        <v>2718</v>
      </c>
      <c r="C904" s="3" t="s">
        <v>56</v>
      </c>
      <c r="D904" s="3" t="s">
        <v>2719</v>
      </c>
      <c r="E904" s="2">
        <v>2021</v>
      </c>
      <c r="F904" s="3" t="s">
        <v>1349</v>
      </c>
      <c r="G904" s="2" t="s">
        <v>12</v>
      </c>
      <c r="H904" s="3" t="s">
        <v>439</v>
      </c>
      <c r="I904" s="10" t="str">
        <f>HYPERLINK("http://dx.doi.org/10.1007/s00339-021-04481-1","http://dx.doi.org/10.1007/s00339-021-04481-1")</f>
        <v>http://dx.doi.org/10.1007/s00339-021-04481-1</v>
      </c>
    </row>
    <row r="905" spans="1:9" ht="60" x14ac:dyDescent="0.25">
      <c r="A905" s="2">
        <v>902</v>
      </c>
      <c r="B905" s="3" t="s">
        <v>2720</v>
      </c>
      <c r="C905" s="3" t="s">
        <v>2721</v>
      </c>
      <c r="D905" s="3" t="s">
        <v>2722</v>
      </c>
      <c r="E905" s="2">
        <v>2023</v>
      </c>
      <c r="F905" s="3" t="s">
        <v>847</v>
      </c>
      <c r="G905" s="2" t="s">
        <v>12</v>
      </c>
      <c r="H905" s="3" t="s">
        <v>58</v>
      </c>
      <c r="I905" s="10" t="str">
        <f>HYPERLINK("http://dx.doi.org/10.1039/d2ta09266b","http://dx.doi.org/10.1039/d2ta09266b")</f>
        <v>http://dx.doi.org/10.1039/d2ta09266b</v>
      </c>
    </row>
    <row r="906" spans="1:9" ht="90" x14ac:dyDescent="0.25">
      <c r="A906" s="2">
        <v>903</v>
      </c>
      <c r="B906" s="3" t="s">
        <v>2723</v>
      </c>
      <c r="C906" s="3" t="s">
        <v>2441</v>
      </c>
      <c r="D906" s="3" t="s">
        <v>2724</v>
      </c>
      <c r="E906" s="2">
        <v>2021</v>
      </c>
      <c r="F906" s="3" t="s">
        <v>2725</v>
      </c>
      <c r="G906" s="2" t="s">
        <v>12</v>
      </c>
      <c r="H906" s="3" t="s">
        <v>58</v>
      </c>
      <c r="I906" s="10" t="str">
        <f>HYPERLINK("http://dx.doi.org/10.1039/d1nj01759d","http://dx.doi.org/10.1039/d1nj01759d")</f>
        <v>http://dx.doi.org/10.1039/d1nj01759d</v>
      </c>
    </row>
    <row r="907" spans="1:9" ht="60" x14ac:dyDescent="0.25">
      <c r="A907" s="2">
        <v>904</v>
      </c>
      <c r="B907" s="3" t="s">
        <v>2726</v>
      </c>
      <c r="C907" s="3" t="s">
        <v>2727</v>
      </c>
      <c r="D907" s="3" t="s">
        <v>2728</v>
      </c>
      <c r="E907" s="2">
        <v>2023</v>
      </c>
      <c r="F907" s="3" t="s">
        <v>1180</v>
      </c>
      <c r="G907" s="2" t="s">
        <v>12</v>
      </c>
      <c r="H907" s="3" t="s">
        <v>23</v>
      </c>
      <c r="I907" s="10" t="str">
        <f>HYPERLINK("http://dx.doi.org/10.1002/slct.202301239","http://dx.doi.org/10.1002/slct.202301239")</f>
        <v>http://dx.doi.org/10.1002/slct.202301239</v>
      </c>
    </row>
    <row r="908" spans="1:9" ht="75" x14ac:dyDescent="0.25">
      <c r="A908" s="2">
        <v>905</v>
      </c>
      <c r="B908" s="3" t="s">
        <v>2729</v>
      </c>
      <c r="C908" s="3" t="s">
        <v>1744</v>
      </c>
      <c r="D908" s="3" t="s">
        <v>2730</v>
      </c>
      <c r="E908" s="2">
        <v>2022</v>
      </c>
      <c r="F908" s="3" t="s">
        <v>1704</v>
      </c>
      <c r="G908" s="2" t="s">
        <v>12</v>
      </c>
      <c r="H908" s="3" t="s">
        <v>67</v>
      </c>
      <c r="I908" s="10" t="str">
        <f>HYPERLINK("http://dx.doi.org/10.1002/bio.4200","http://dx.doi.org/10.1002/bio.4200")</f>
        <v>http://dx.doi.org/10.1002/bio.4200</v>
      </c>
    </row>
    <row r="909" spans="1:9" ht="90" x14ac:dyDescent="0.25">
      <c r="A909" s="2">
        <v>906</v>
      </c>
      <c r="B909" s="3" t="s">
        <v>2731</v>
      </c>
      <c r="C909" s="3" t="s">
        <v>1853</v>
      </c>
      <c r="D909" s="3" t="s">
        <v>2732</v>
      </c>
      <c r="E909" s="2">
        <v>2021</v>
      </c>
      <c r="F909" s="3" t="s">
        <v>2733</v>
      </c>
      <c r="G909" s="2" t="s">
        <v>12</v>
      </c>
      <c r="H909" s="3" t="s">
        <v>2666</v>
      </c>
      <c r="I909" s="10" t="str">
        <f>HYPERLINK("http://dx.doi.org/10.1149/1945-7111/ac2ddc","http://dx.doi.org/10.1149/1945-7111/ac2ddc")</f>
        <v>http://dx.doi.org/10.1149/1945-7111/ac2ddc</v>
      </c>
    </row>
    <row r="910" spans="1:9" ht="105" x14ac:dyDescent="0.25">
      <c r="A910" s="2">
        <v>907</v>
      </c>
      <c r="B910" s="3" t="s">
        <v>2734</v>
      </c>
      <c r="C910" s="3" t="s">
        <v>40</v>
      </c>
      <c r="D910" s="3" t="s">
        <v>2735</v>
      </c>
      <c r="E910" s="2">
        <v>2019</v>
      </c>
      <c r="F910" s="3" t="s">
        <v>1776</v>
      </c>
      <c r="G910" s="2" t="s">
        <v>12</v>
      </c>
      <c r="H910" s="3" t="s">
        <v>58</v>
      </c>
      <c r="I910" s="10" t="str">
        <f>HYPERLINK("http://dx.doi.org/10.1039/c8cp05267k","http://dx.doi.org/10.1039/c8cp05267k")</f>
        <v>http://dx.doi.org/10.1039/c8cp05267k</v>
      </c>
    </row>
    <row r="911" spans="1:9" ht="60" x14ac:dyDescent="0.25">
      <c r="A911" s="2">
        <v>908</v>
      </c>
      <c r="B911" s="3" t="s">
        <v>2736</v>
      </c>
      <c r="C911" s="3" t="s">
        <v>137</v>
      </c>
      <c r="D911" s="3" t="s">
        <v>2737</v>
      </c>
      <c r="E911" s="2">
        <v>2023</v>
      </c>
      <c r="F911" s="3" t="s">
        <v>2738</v>
      </c>
      <c r="G911" s="2" t="s">
        <v>12</v>
      </c>
      <c r="H911" s="3" t="s">
        <v>28</v>
      </c>
      <c r="I911" s="10" t="str">
        <f>HYPERLINK("http://dx.doi.org/10.1021/acs.energyfuels.3c03536","http://dx.doi.org/10.1021/acs.energyfuels.3c03536")</f>
        <v>http://dx.doi.org/10.1021/acs.energyfuels.3c03536</v>
      </c>
    </row>
    <row r="912" spans="1:9" ht="90" x14ac:dyDescent="0.25">
      <c r="A912" s="2">
        <v>909</v>
      </c>
      <c r="B912" s="3" t="s">
        <v>2739</v>
      </c>
      <c r="C912" s="3" t="s">
        <v>25</v>
      </c>
      <c r="D912" s="3" t="s">
        <v>2740</v>
      </c>
      <c r="E912" s="2">
        <v>2019</v>
      </c>
      <c r="F912" s="3" t="s">
        <v>2741</v>
      </c>
      <c r="G912" s="2" t="s">
        <v>12</v>
      </c>
      <c r="H912" s="3" t="s">
        <v>23</v>
      </c>
      <c r="I912" s="10" t="str">
        <f>HYPERLINK("http://dx.doi.org/10.1002/jccs.201800405","http://dx.doi.org/10.1002/jccs.201800405")</f>
        <v>http://dx.doi.org/10.1002/jccs.201800405</v>
      </c>
    </row>
    <row r="913" spans="1:9" ht="75" x14ac:dyDescent="0.25">
      <c r="A913" s="2">
        <v>910</v>
      </c>
      <c r="B913" s="3" t="s">
        <v>2742</v>
      </c>
      <c r="C913" s="3" t="s">
        <v>2743</v>
      </c>
      <c r="D913" s="3" t="s">
        <v>2744</v>
      </c>
      <c r="E913" s="2">
        <v>2022</v>
      </c>
      <c r="F913" s="3" t="s">
        <v>2745</v>
      </c>
      <c r="G913" s="2" t="s">
        <v>12</v>
      </c>
      <c r="H913" s="3" t="s">
        <v>91</v>
      </c>
      <c r="I913" s="10" t="str">
        <f>HYPERLINK("http://dx.doi.org/10.1080/00319104.2021.1916931","http://dx.doi.org/10.1080/00319104.2021.1916931")</f>
        <v>http://dx.doi.org/10.1080/00319104.2021.1916931</v>
      </c>
    </row>
    <row r="914" spans="1:9" ht="105" x14ac:dyDescent="0.25">
      <c r="A914" s="2">
        <v>911</v>
      </c>
      <c r="B914" s="3" t="s">
        <v>2746</v>
      </c>
      <c r="C914" s="3" t="s">
        <v>1152</v>
      </c>
      <c r="D914" s="3" t="s">
        <v>2747</v>
      </c>
      <c r="E914" s="2">
        <v>2020</v>
      </c>
      <c r="F914" s="3" t="s">
        <v>261</v>
      </c>
      <c r="G914" s="2" t="s">
        <v>12</v>
      </c>
      <c r="H914" s="3" t="s">
        <v>181</v>
      </c>
      <c r="I914" s="10" t="str">
        <f>HYPERLINK("http://dx.doi.org/10.1016/j.bmcl.2020.127592","http://dx.doi.org/10.1016/j.bmcl.2020.127592")</f>
        <v>http://dx.doi.org/10.1016/j.bmcl.2020.127592</v>
      </c>
    </row>
    <row r="915" spans="1:9" ht="60" x14ac:dyDescent="0.25">
      <c r="A915" s="2">
        <v>912</v>
      </c>
      <c r="B915" s="3" t="s">
        <v>2670</v>
      </c>
      <c r="C915" s="3" t="s">
        <v>1853</v>
      </c>
      <c r="D915" s="3" t="s">
        <v>2748</v>
      </c>
      <c r="E915" s="2">
        <v>2020</v>
      </c>
      <c r="F915" s="3" t="s">
        <v>261</v>
      </c>
      <c r="G915" s="2" t="s">
        <v>12</v>
      </c>
      <c r="H915" s="3" t="s">
        <v>453</v>
      </c>
      <c r="I915" s="10" t="str">
        <f>HYPERLINK("http://dx.doi.org/10.3389/fchem.2020.00803","http://dx.doi.org/10.3389/fchem.2020.00803")</f>
        <v>http://dx.doi.org/10.3389/fchem.2020.00803</v>
      </c>
    </row>
    <row r="916" spans="1:9" ht="60" x14ac:dyDescent="0.25">
      <c r="A916" s="2">
        <v>913</v>
      </c>
      <c r="B916" s="3" t="s">
        <v>2749</v>
      </c>
      <c r="C916" s="3" t="s">
        <v>1342</v>
      </c>
      <c r="D916" s="3" t="s">
        <v>2750</v>
      </c>
      <c r="E916" s="2">
        <v>2022</v>
      </c>
      <c r="F916" s="3" t="s">
        <v>261</v>
      </c>
      <c r="G916" s="2" t="s">
        <v>12</v>
      </c>
      <c r="H916" s="3" t="s">
        <v>799</v>
      </c>
      <c r="I916" s="10" t="str">
        <f>HYPERLINK("http://dx.doi.org/10.3390/ijms231911748","http://dx.doi.org/10.3390/ijms231911748")</f>
        <v>http://dx.doi.org/10.3390/ijms231911748</v>
      </c>
    </row>
    <row r="917" spans="1:9" ht="90" x14ac:dyDescent="0.25">
      <c r="A917" s="2">
        <v>914</v>
      </c>
      <c r="B917" s="3" t="s">
        <v>2751</v>
      </c>
      <c r="C917" s="3" t="s">
        <v>1778</v>
      </c>
      <c r="D917" s="3" t="s">
        <v>2752</v>
      </c>
      <c r="E917" s="2">
        <v>2021</v>
      </c>
      <c r="F917" s="3" t="s">
        <v>261</v>
      </c>
      <c r="G917" s="2" t="s">
        <v>12</v>
      </c>
      <c r="H917" s="3" t="s">
        <v>48</v>
      </c>
      <c r="I917" s="10" t="str">
        <f>HYPERLINK("http://dx.doi.org/10.1007/s11030-020-10079-1","http://dx.doi.org/10.1007/s11030-020-10079-1")</f>
        <v>http://dx.doi.org/10.1007/s11030-020-10079-1</v>
      </c>
    </row>
    <row r="918" spans="1:9" ht="45" x14ac:dyDescent="0.25">
      <c r="A918" s="2">
        <v>915</v>
      </c>
      <c r="B918" s="3" t="s">
        <v>2753</v>
      </c>
      <c r="C918" s="3" t="s">
        <v>2754</v>
      </c>
      <c r="D918" s="3" t="s">
        <v>2755</v>
      </c>
      <c r="E918" s="2">
        <v>2019</v>
      </c>
      <c r="F918" s="3" t="s">
        <v>2756</v>
      </c>
      <c r="G918" s="2" t="s">
        <v>12</v>
      </c>
      <c r="H918" s="3" t="s">
        <v>18</v>
      </c>
      <c r="I918" s="12" t="s">
        <v>3204</v>
      </c>
    </row>
    <row r="919" spans="1:9" ht="45" x14ac:dyDescent="0.25">
      <c r="A919" s="2">
        <v>916</v>
      </c>
      <c r="B919" s="3" t="s">
        <v>2203</v>
      </c>
      <c r="C919" s="3" t="s">
        <v>211</v>
      </c>
      <c r="D919" s="3" t="s">
        <v>2757</v>
      </c>
      <c r="E919" s="2">
        <v>2018</v>
      </c>
      <c r="F919" s="3" t="s">
        <v>261</v>
      </c>
      <c r="G919" s="2" t="s">
        <v>12</v>
      </c>
      <c r="H919" s="3" t="s">
        <v>1027</v>
      </c>
      <c r="I919" s="10" t="str">
        <f>HYPERLINK("http://dx.doi.org/10.1007/s12036-018-9548-z","http://dx.doi.org/10.1007/s12036-018-9548-z")</f>
        <v>http://dx.doi.org/10.1007/s12036-018-9548-z</v>
      </c>
    </row>
    <row r="920" spans="1:9" ht="90" x14ac:dyDescent="0.25">
      <c r="A920" s="2">
        <v>917</v>
      </c>
      <c r="B920" s="3" t="s">
        <v>2758</v>
      </c>
      <c r="C920" s="3" t="s">
        <v>1512</v>
      </c>
      <c r="D920" s="3" t="s">
        <v>2759</v>
      </c>
      <c r="E920" s="2">
        <v>2018</v>
      </c>
      <c r="F920" s="3" t="s">
        <v>2760</v>
      </c>
      <c r="G920" s="2" t="s">
        <v>12</v>
      </c>
      <c r="H920" s="3" t="s">
        <v>38</v>
      </c>
      <c r="I920" s="10" t="str">
        <f>HYPERLINK("http://dx.doi.org/10.2174/1570180814666170704101817","http://dx.doi.org/10.2174/1570180814666170704101817")</f>
        <v>http://dx.doi.org/10.2174/1570180814666170704101817</v>
      </c>
    </row>
    <row r="921" spans="1:9" ht="90" x14ac:dyDescent="0.25">
      <c r="A921" s="2">
        <v>918</v>
      </c>
      <c r="B921" s="3" t="s">
        <v>2761</v>
      </c>
      <c r="C921" s="3" t="s">
        <v>817</v>
      </c>
      <c r="D921" s="3" t="s">
        <v>2762</v>
      </c>
      <c r="E921" s="2">
        <v>2018</v>
      </c>
      <c r="F921" s="3" t="s">
        <v>261</v>
      </c>
      <c r="G921" s="2" t="s">
        <v>12</v>
      </c>
      <c r="H921" s="3" t="s">
        <v>1637</v>
      </c>
      <c r="I921" s="10" t="str">
        <f>HYPERLINK("http://dx.doi.org/10.1088/2053-1591/aac99d","http://dx.doi.org/10.1088/2053-1591/aac99d")</f>
        <v>http://dx.doi.org/10.1088/2053-1591/aac99d</v>
      </c>
    </row>
    <row r="922" spans="1:9" ht="90" x14ac:dyDescent="0.25">
      <c r="A922" s="2">
        <v>919</v>
      </c>
      <c r="B922" s="3" t="s">
        <v>2763</v>
      </c>
      <c r="C922" s="3" t="s">
        <v>1969</v>
      </c>
      <c r="D922" s="3" t="s">
        <v>2764</v>
      </c>
      <c r="E922" s="2">
        <v>2018</v>
      </c>
      <c r="F922" s="3" t="s">
        <v>261</v>
      </c>
      <c r="G922" s="2" t="s">
        <v>12</v>
      </c>
      <c r="H922" s="3" t="s">
        <v>277</v>
      </c>
      <c r="I922" s="10" t="str">
        <f>HYPERLINK("http://dx.doi.org/10.1016/j.jnoncrysol.2018.06.022","http://dx.doi.org/10.1016/j.jnoncrysol.2018.06.022")</f>
        <v>http://dx.doi.org/10.1016/j.jnoncrysol.2018.06.022</v>
      </c>
    </row>
    <row r="923" spans="1:9" ht="105" x14ac:dyDescent="0.25">
      <c r="A923" s="2">
        <v>920</v>
      </c>
      <c r="B923" s="3" t="s">
        <v>2765</v>
      </c>
      <c r="C923" s="3" t="s">
        <v>2766</v>
      </c>
      <c r="D923" s="3" t="s">
        <v>2767</v>
      </c>
      <c r="E923" s="2">
        <v>2023</v>
      </c>
      <c r="F923" s="3" t="s">
        <v>261</v>
      </c>
      <c r="G923" s="2" t="s">
        <v>12</v>
      </c>
      <c r="H923" s="3" t="s">
        <v>91</v>
      </c>
      <c r="I923" s="10" t="str">
        <f>HYPERLINK("http://dx.doi.org/10.1080/10406638.2023.2271113","http://dx.doi.org/10.1080/10406638.2023.2271113")</f>
        <v>http://dx.doi.org/10.1080/10406638.2023.2271113</v>
      </c>
    </row>
    <row r="924" spans="1:9" ht="60" x14ac:dyDescent="0.25">
      <c r="A924" s="2">
        <v>921</v>
      </c>
      <c r="B924" s="3" t="s">
        <v>2768</v>
      </c>
      <c r="C924" s="3" t="s">
        <v>1152</v>
      </c>
      <c r="D924" s="3" t="s">
        <v>2769</v>
      </c>
      <c r="E924" s="2">
        <v>2019</v>
      </c>
      <c r="F924" s="3" t="s">
        <v>261</v>
      </c>
      <c r="G924" s="2" t="s">
        <v>12</v>
      </c>
      <c r="H924" s="3" t="s">
        <v>1125</v>
      </c>
      <c r="I924" s="10" t="str">
        <f>HYPERLINK("http://dx.doi.org/10.11646/phytotaxa.411.1.6","http://dx.doi.org/10.11646/phytotaxa.411.1.6")</f>
        <v>http://dx.doi.org/10.11646/phytotaxa.411.1.6</v>
      </c>
    </row>
    <row r="925" spans="1:9" ht="90" x14ac:dyDescent="0.25">
      <c r="A925" s="2">
        <v>922</v>
      </c>
      <c r="B925" s="3" t="s">
        <v>2770</v>
      </c>
      <c r="C925" s="3" t="s">
        <v>2562</v>
      </c>
      <c r="D925" s="3" t="s">
        <v>2771</v>
      </c>
      <c r="E925" s="2">
        <v>2020</v>
      </c>
      <c r="F925" s="3" t="s">
        <v>261</v>
      </c>
      <c r="G925" s="2" t="s">
        <v>12</v>
      </c>
      <c r="H925" s="3" t="s">
        <v>1011</v>
      </c>
      <c r="I925" s="10" t="str">
        <f>HYPERLINK("http://dx.doi.org/10.1016/j.jtemb.2020.126630","http://dx.doi.org/10.1016/j.jtemb.2020.126630")</f>
        <v>http://dx.doi.org/10.1016/j.jtemb.2020.126630</v>
      </c>
    </row>
    <row r="926" spans="1:9" ht="90" x14ac:dyDescent="0.25">
      <c r="A926" s="2">
        <v>923</v>
      </c>
      <c r="B926" s="3" t="s">
        <v>2772</v>
      </c>
      <c r="C926" s="3" t="s">
        <v>2773</v>
      </c>
      <c r="D926" s="3" t="s">
        <v>2774</v>
      </c>
      <c r="E926" s="2">
        <v>2023</v>
      </c>
      <c r="F926" s="3" t="s">
        <v>261</v>
      </c>
      <c r="G926" s="2" t="s">
        <v>12</v>
      </c>
      <c r="H926" s="3" t="s">
        <v>38</v>
      </c>
      <c r="I926" s="10" t="str">
        <f>HYPERLINK("http://dx.doi.org/10.2174/1570178620666230510122033","http://dx.doi.org/10.2174/1570178620666230510122033")</f>
        <v>http://dx.doi.org/10.2174/1570178620666230510122033</v>
      </c>
    </row>
    <row r="927" spans="1:9" ht="90" x14ac:dyDescent="0.25">
      <c r="A927" s="2">
        <v>924</v>
      </c>
      <c r="B927" s="3" t="s">
        <v>2775</v>
      </c>
      <c r="C927" s="3" t="s">
        <v>2776</v>
      </c>
      <c r="D927" s="3" t="s">
        <v>2777</v>
      </c>
      <c r="E927" s="2">
        <v>2023</v>
      </c>
      <c r="F927" s="3" t="s">
        <v>261</v>
      </c>
      <c r="G927" s="2" t="s">
        <v>12</v>
      </c>
      <c r="H927" s="3" t="s">
        <v>28</v>
      </c>
      <c r="I927" s="10" t="str">
        <f>HYPERLINK("http://dx.doi.org/10.1021/acsomega.2c04837","http://dx.doi.org/10.1021/acsomega.2c04837")</f>
        <v>http://dx.doi.org/10.1021/acsomega.2c04837</v>
      </c>
    </row>
    <row r="928" spans="1:9" ht="120" x14ac:dyDescent="0.25">
      <c r="A928" s="2">
        <v>925</v>
      </c>
      <c r="B928" s="3" t="s">
        <v>2778</v>
      </c>
      <c r="C928" s="3" t="s">
        <v>2779</v>
      </c>
      <c r="D928" s="3" t="s">
        <v>2780</v>
      </c>
      <c r="E928" s="2">
        <v>2022</v>
      </c>
      <c r="F928" s="3" t="s">
        <v>261</v>
      </c>
      <c r="G928" s="2" t="s">
        <v>12</v>
      </c>
      <c r="H928" s="3" t="s">
        <v>583</v>
      </c>
      <c r="I928" s="10" t="str">
        <f>HYPERLINK("http://dx.doi.org/10.1155/2022/1577957","http://dx.doi.org/10.1155/2022/1577957")</f>
        <v>http://dx.doi.org/10.1155/2022/1577957</v>
      </c>
    </row>
    <row r="929" spans="1:9" ht="90" x14ac:dyDescent="0.25">
      <c r="A929" s="2">
        <v>926</v>
      </c>
      <c r="B929" s="3" t="s">
        <v>2781</v>
      </c>
      <c r="C929" s="3" t="s">
        <v>2613</v>
      </c>
      <c r="D929" s="3" t="s">
        <v>2782</v>
      </c>
      <c r="E929" s="2">
        <v>2021</v>
      </c>
      <c r="F929" s="3" t="s">
        <v>261</v>
      </c>
      <c r="G929" s="2" t="s">
        <v>12</v>
      </c>
      <c r="H929" s="3" t="s">
        <v>277</v>
      </c>
      <c r="I929" s="10" t="str">
        <f>HYPERLINK("http://dx.doi.org/10.1016/j.cplett.2021.138703","http://dx.doi.org/10.1016/j.cplett.2021.138703")</f>
        <v>http://dx.doi.org/10.1016/j.cplett.2021.138703</v>
      </c>
    </row>
    <row r="930" spans="1:9" ht="75" x14ac:dyDescent="0.25">
      <c r="A930" s="2">
        <v>927</v>
      </c>
      <c r="B930" s="3" t="s">
        <v>2729</v>
      </c>
      <c r="C930" s="3" t="s">
        <v>2783</v>
      </c>
      <c r="D930" s="3" t="s">
        <v>2784</v>
      </c>
      <c r="E930" s="2">
        <v>2021</v>
      </c>
      <c r="F930" s="3" t="s">
        <v>1704</v>
      </c>
      <c r="G930" s="2" t="s">
        <v>12</v>
      </c>
      <c r="H930" s="3" t="s">
        <v>1011</v>
      </c>
      <c r="I930" s="10" t="str">
        <f>HYPERLINK("http://dx.doi.org/10.1016/j.ijleo.2020.166119","http://dx.doi.org/10.1016/j.ijleo.2020.166119")</f>
        <v>http://dx.doi.org/10.1016/j.ijleo.2020.166119</v>
      </c>
    </row>
    <row r="931" spans="1:9" ht="75" x14ac:dyDescent="0.25">
      <c r="A931" s="2">
        <v>928</v>
      </c>
      <c r="B931" s="3" t="s">
        <v>2785</v>
      </c>
      <c r="C931" s="3" t="s">
        <v>1919</v>
      </c>
      <c r="D931" s="3" t="s">
        <v>2786</v>
      </c>
      <c r="E931" s="2">
        <v>2019</v>
      </c>
      <c r="F931" s="3" t="s">
        <v>325</v>
      </c>
      <c r="G931" s="2" t="s">
        <v>12</v>
      </c>
      <c r="H931" s="3" t="s">
        <v>38</v>
      </c>
      <c r="I931" s="10" t="str">
        <f>HYPERLINK("http://dx.doi.org/10.2174/1570178616666181211094040","http://dx.doi.org/10.2174/1570178616666181211094040")</f>
        <v>http://dx.doi.org/10.2174/1570178616666181211094040</v>
      </c>
    </row>
    <row r="932" spans="1:9" ht="90" x14ac:dyDescent="0.25">
      <c r="A932" s="2">
        <v>929</v>
      </c>
      <c r="B932" s="3" t="s">
        <v>2761</v>
      </c>
      <c r="C932" s="3" t="s">
        <v>1695</v>
      </c>
      <c r="D932" s="3" t="s">
        <v>2787</v>
      </c>
      <c r="E932" s="2">
        <v>2018</v>
      </c>
      <c r="F932" s="3" t="s">
        <v>261</v>
      </c>
      <c r="G932" s="2" t="s">
        <v>12</v>
      </c>
      <c r="H932" s="3" t="s">
        <v>1637</v>
      </c>
      <c r="I932" s="10" t="str">
        <f>HYPERLINK("http://dx.doi.org/10.1088/2053-1591/aabbef","http://dx.doi.org/10.1088/2053-1591/aabbef")</f>
        <v>http://dx.doi.org/10.1088/2053-1591/aabbef</v>
      </c>
    </row>
    <row r="933" spans="1:9" ht="45" x14ac:dyDescent="0.25">
      <c r="A933" s="2">
        <v>930</v>
      </c>
      <c r="B933" s="3" t="s">
        <v>2788</v>
      </c>
      <c r="C933" s="3" t="s">
        <v>1797</v>
      </c>
      <c r="D933" s="3" t="s">
        <v>2789</v>
      </c>
      <c r="E933" s="2">
        <v>2021</v>
      </c>
      <c r="F933" s="3" t="s">
        <v>261</v>
      </c>
      <c r="G933" s="2" t="s">
        <v>12</v>
      </c>
      <c r="H933" s="3" t="s">
        <v>439</v>
      </c>
      <c r="I933" s="10" t="str">
        <f>HYPERLINK("http://dx.doi.org/10.1007/s10311-021-01189-9","http://dx.doi.org/10.1007/s10311-021-01189-9")</f>
        <v>http://dx.doi.org/10.1007/s10311-021-01189-9</v>
      </c>
    </row>
    <row r="934" spans="1:9" ht="105" x14ac:dyDescent="0.25">
      <c r="A934" s="2">
        <v>931</v>
      </c>
      <c r="B934" s="3" t="s">
        <v>2790</v>
      </c>
      <c r="C934" s="3" t="s">
        <v>2791</v>
      </c>
      <c r="D934" s="3" t="s">
        <v>2792</v>
      </c>
      <c r="E934" s="2">
        <v>2018</v>
      </c>
      <c r="F934" s="3" t="s">
        <v>261</v>
      </c>
      <c r="G934" s="2" t="s">
        <v>12</v>
      </c>
      <c r="H934" s="3" t="s">
        <v>1202</v>
      </c>
      <c r="I934" s="10" t="str">
        <f>HYPERLINK("http://dx.doi.org/10.1016/j.jallcom.2018.03.168","http://dx.doi.org/10.1016/j.jallcom.2018.03.168")</f>
        <v>http://dx.doi.org/10.1016/j.jallcom.2018.03.168</v>
      </c>
    </row>
    <row r="935" spans="1:9" ht="60" x14ac:dyDescent="0.25">
      <c r="A935" s="2">
        <v>932</v>
      </c>
      <c r="B935" s="3" t="s">
        <v>2793</v>
      </c>
      <c r="C935" s="3" t="s">
        <v>1238</v>
      </c>
      <c r="D935" s="3" t="s">
        <v>2794</v>
      </c>
      <c r="E935" s="2">
        <v>2022</v>
      </c>
      <c r="F935" s="3" t="s">
        <v>261</v>
      </c>
      <c r="G935" s="2" t="s">
        <v>12</v>
      </c>
      <c r="H935" s="3" t="s">
        <v>583</v>
      </c>
      <c r="I935" s="10" t="str">
        <f>HYPERLINK("http://dx.doi.org/10.1155/2022/1812445","http://dx.doi.org/10.1155/2022/1812445")</f>
        <v>http://dx.doi.org/10.1155/2022/1812445</v>
      </c>
    </row>
    <row r="936" spans="1:9" ht="90" x14ac:dyDescent="0.25">
      <c r="A936" s="2">
        <v>933</v>
      </c>
      <c r="B936" s="3" t="s">
        <v>2795</v>
      </c>
      <c r="C936" s="3" t="s">
        <v>1778</v>
      </c>
      <c r="D936" s="3" t="s">
        <v>2796</v>
      </c>
      <c r="E936" s="2">
        <v>2019</v>
      </c>
      <c r="F936" s="3" t="s">
        <v>261</v>
      </c>
      <c r="G936" s="2" t="s">
        <v>12</v>
      </c>
      <c r="H936" s="3" t="s">
        <v>91</v>
      </c>
      <c r="I936" s="10" t="str">
        <f>HYPERLINK("http://dx.doi.org/10.1080/10667857.2019.1639019","http://dx.doi.org/10.1080/10667857.2019.1639019")</f>
        <v>http://dx.doi.org/10.1080/10667857.2019.1639019</v>
      </c>
    </row>
    <row r="937" spans="1:9" ht="75" x14ac:dyDescent="0.25">
      <c r="A937" s="2">
        <v>934</v>
      </c>
      <c r="B937" s="3" t="s">
        <v>2797</v>
      </c>
      <c r="C937" s="3" t="s">
        <v>2798</v>
      </c>
      <c r="D937" s="3" t="s">
        <v>2799</v>
      </c>
      <c r="E937" s="2">
        <v>2019</v>
      </c>
      <c r="F937" s="3" t="s">
        <v>261</v>
      </c>
      <c r="G937" s="2" t="s">
        <v>12</v>
      </c>
      <c r="H937" s="3" t="s">
        <v>18</v>
      </c>
      <c r="I937" s="10" t="str">
        <f>HYPERLINK("http://dx.doi.org/10.1007/s40089-019-0268-4","http://dx.doi.org/10.1007/s40089-019-0268-4")</f>
        <v>http://dx.doi.org/10.1007/s40089-019-0268-4</v>
      </c>
    </row>
    <row r="938" spans="1:9" ht="60" x14ac:dyDescent="0.25">
      <c r="A938" s="2">
        <v>935</v>
      </c>
      <c r="B938" s="3" t="s">
        <v>2800</v>
      </c>
      <c r="C938" s="3" t="s">
        <v>1853</v>
      </c>
      <c r="D938" s="3" t="s">
        <v>2801</v>
      </c>
      <c r="E938" s="2">
        <v>2018</v>
      </c>
      <c r="F938" s="3" t="s">
        <v>261</v>
      </c>
      <c r="G938" s="2" t="s">
        <v>12</v>
      </c>
      <c r="H938" s="3" t="s">
        <v>686</v>
      </c>
      <c r="I938" s="10" t="str">
        <f>HYPERLINK("http://dx.doi.org/10.1016/j.colsurfa.2017.10.026","http://dx.doi.org/10.1016/j.colsurfa.2017.10.026")</f>
        <v>http://dx.doi.org/10.1016/j.colsurfa.2017.10.026</v>
      </c>
    </row>
    <row r="939" spans="1:9" ht="90" x14ac:dyDescent="0.25">
      <c r="A939" s="2">
        <v>936</v>
      </c>
      <c r="B939" s="3" t="s">
        <v>2802</v>
      </c>
      <c r="C939" s="3" t="s">
        <v>2803</v>
      </c>
      <c r="D939" s="3" t="s">
        <v>2804</v>
      </c>
      <c r="E939" s="2">
        <v>2019</v>
      </c>
      <c r="F939" s="3" t="s">
        <v>261</v>
      </c>
      <c r="G939" s="2" t="s">
        <v>12</v>
      </c>
      <c r="H939" s="3" t="s">
        <v>686</v>
      </c>
      <c r="I939" s="10" t="str">
        <f>HYPERLINK("http://dx.doi.org/10.1016/j.matpr.2018.10.390","http://dx.doi.org/10.1016/j.matpr.2018.10.390")</f>
        <v>http://dx.doi.org/10.1016/j.matpr.2018.10.390</v>
      </c>
    </row>
    <row r="940" spans="1:9" ht="75" x14ac:dyDescent="0.25">
      <c r="A940" s="2">
        <v>937</v>
      </c>
      <c r="B940" s="3" t="s">
        <v>2805</v>
      </c>
      <c r="C940" s="3" t="s">
        <v>2806</v>
      </c>
      <c r="D940" s="3" t="s">
        <v>2807</v>
      </c>
      <c r="E940" s="2">
        <v>2020</v>
      </c>
      <c r="F940" s="3" t="s">
        <v>261</v>
      </c>
      <c r="G940" s="2" t="s">
        <v>12</v>
      </c>
      <c r="H940" s="3" t="s">
        <v>2808</v>
      </c>
      <c r="I940" s="10" t="str">
        <f>HYPERLINK("http://dx.doi.org/10.1074/jbc.AC120.014343","http://dx.doi.org/10.1074/jbc.AC120.014343")</f>
        <v>http://dx.doi.org/10.1074/jbc.AC120.014343</v>
      </c>
    </row>
    <row r="941" spans="1:9" ht="105" x14ac:dyDescent="0.25">
      <c r="A941" s="2">
        <v>938</v>
      </c>
      <c r="B941" s="3" t="s">
        <v>2809</v>
      </c>
      <c r="C941" s="3" t="s">
        <v>362</v>
      </c>
      <c r="D941" s="3" t="s">
        <v>2810</v>
      </c>
      <c r="E941" s="2">
        <v>2021</v>
      </c>
      <c r="F941" s="3" t="s">
        <v>261</v>
      </c>
      <c r="G941" s="2" t="s">
        <v>12</v>
      </c>
      <c r="H941" s="3" t="s">
        <v>181</v>
      </c>
      <c r="I941" s="10" t="str">
        <f>HYPERLINK("http://dx.doi.org/10.1016/j.electacta.2020.137556","http://dx.doi.org/10.1016/j.electacta.2020.137556")</f>
        <v>http://dx.doi.org/10.1016/j.electacta.2020.137556</v>
      </c>
    </row>
    <row r="942" spans="1:9" ht="90" x14ac:dyDescent="0.25">
      <c r="A942" s="2">
        <v>939</v>
      </c>
      <c r="B942" s="3" t="s">
        <v>2811</v>
      </c>
      <c r="C942" s="3" t="s">
        <v>81</v>
      </c>
      <c r="D942" s="3" t="s">
        <v>2812</v>
      </c>
      <c r="E942" s="2">
        <v>2023</v>
      </c>
      <c r="F942" s="3" t="s">
        <v>261</v>
      </c>
      <c r="G942" s="2" t="s">
        <v>12</v>
      </c>
      <c r="H942" s="3" t="s">
        <v>91</v>
      </c>
      <c r="I942" s="10" t="str">
        <f>HYPERLINK("http://dx.doi.org/10.1080/10406638.2022.2150238","http://dx.doi.org/10.1080/10406638.2022.2150238")</f>
        <v>http://dx.doi.org/10.1080/10406638.2022.2150238</v>
      </c>
    </row>
    <row r="943" spans="1:9" ht="75" x14ac:dyDescent="0.25">
      <c r="A943" s="2">
        <v>940</v>
      </c>
      <c r="B943" s="3" t="s">
        <v>2813</v>
      </c>
      <c r="C943" s="3" t="s">
        <v>2656</v>
      </c>
      <c r="D943" s="3" t="s">
        <v>2814</v>
      </c>
      <c r="E943" s="2">
        <v>2020</v>
      </c>
      <c r="F943" s="3" t="s">
        <v>261</v>
      </c>
      <c r="G943" s="2" t="s">
        <v>12</v>
      </c>
      <c r="H943" s="3" t="s">
        <v>747</v>
      </c>
      <c r="I943" s="10" t="str">
        <f>HYPERLINK("http://dx.doi.org/10.1016/j.mssp.2020.105291","http://dx.doi.org/10.1016/j.mssp.2020.105291")</f>
        <v>http://dx.doi.org/10.1016/j.mssp.2020.105291</v>
      </c>
    </row>
    <row r="944" spans="1:9" ht="60" x14ac:dyDescent="0.25">
      <c r="A944" s="2">
        <v>941</v>
      </c>
      <c r="B944" s="3" t="s">
        <v>2815</v>
      </c>
      <c r="C944" s="3" t="s">
        <v>40</v>
      </c>
      <c r="D944" s="3" t="s">
        <v>2816</v>
      </c>
      <c r="E944" s="2">
        <v>2021</v>
      </c>
      <c r="F944" s="3" t="s">
        <v>261</v>
      </c>
      <c r="G944" s="2" t="s">
        <v>12</v>
      </c>
      <c r="H944" s="3" t="s">
        <v>43</v>
      </c>
      <c r="I944" s="10" t="str">
        <f>HYPERLINK("http://dx.doi.org/10.3934/math.2022192","http://dx.doi.org/10.3934/math.2022192")</f>
        <v>http://dx.doi.org/10.3934/math.2022192</v>
      </c>
    </row>
    <row r="945" spans="1:9" ht="75" x14ac:dyDescent="0.25">
      <c r="A945" s="2">
        <v>942</v>
      </c>
      <c r="B945" s="3" t="s">
        <v>2817</v>
      </c>
      <c r="C945" s="3" t="s">
        <v>104</v>
      </c>
      <c r="D945" s="3" t="s">
        <v>2818</v>
      </c>
      <c r="E945" s="2">
        <v>2021</v>
      </c>
      <c r="F945" s="3" t="s">
        <v>261</v>
      </c>
      <c r="G945" s="2" t="s">
        <v>12</v>
      </c>
      <c r="H945" s="3" t="s">
        <v>38</v>
      </c>
      <c r="I945" s="10" t="str">
        <f>HYPERLINK("http://dx.doi.org/10.2174/1570178617999200805163909","http://dx.doi.org/10.2174/1570178617999200805163909")</f>
        <v>http://dx.doi.org/10.2174/1570178617999200805163909</v>
      </c>
    </row>
    <row r="946" spans="1:9" ht="75" x14ac:dyDescent="0.25">
      <c r="A946" s="2">
        <v>943</v>
      </c>
      <c r="B946" s="3" t="s">
        <v>2819</v>
      </c>
      <c r="C946" s="3" t="s">
        <v>2663</v>
      </c>
      <c r="D946" s="3" t="s">
        <v>2820</v>
      </c>
      <c r="E946" s="2">
        <v>2020</v>
      </c>
      <c r="F946" s="3" t="s">
        <v>261</v>
      </c>
      <c r="G946" s="2" t="s">
        <v>12</v>
      </c>
      <c r="H946" s="3" t="s">
        <v>277</v>
      </c>
      <c r="I946" s="10" t="str">
        <f>HYPERLINK("http://dx.doi.org/10.1016/j.jddst.2019.101496","http://dx.doi.org/10.1016/j.jddst.2019.101496")</f>
        <v>http://dx.doi.org/10.1016/j.jddst.2019.101496</v>
      </c>
    </row>
    <row r="947" spans="1:9" ht="60" x14ac:dyDescent="0.25">
      <c r="A947" s="2">
        <v>944</v>
      </c>
      <c r="B947" s="3" t="s">
        <v>2821</v>
      </c>
      <c r="C947" s="3" t="s">
        <v>2668</v>
      </c>
      <c r="D947" s="3" t="s">
        <v>2822</v>
      </c>
      <c r="E947" s="2">
        <v>2018</v>
      </c>
      <c r="F947" s="3" t="s">
        <v>261</v>
      </c>
      <c r="G947" s="2" t="s">
        <v>12</v>
      </c>
      <c r="H947" s="3" t="s">
        <v>181</v>
      </c>
      <c r="I947" s="10" t="str">
        <f>HYPERLINK("http://dx.doi.org/10.1016/j.jpcs.2018.05.009","http://dx.doi.org/10.1016/j.jpcs.2018.05.009")</f>
        <v>http://dx.doi.org/10.1016/j.jpcs.2018.05.009</v>
      </c>
    </row>
    <row r="948" spans="1:9" ht="60" x14ac:dyDescent="0.25">
      <c r="A948" s="2">
        <v>945</v>
      </c>
      <c r="B948" s="3" t="s">
        <v>2823</v>
      </c>
      <c r="C948" s="3" t="s">
        <v>1744</v>
      </c>
      <c r="D948" s="3" t="s">
        <v>2824</v>
      </c>
      <c r="E948" s="2">
        <v>2021</v>
      </c>
      <c r="F948" s="3" t="s">
        <v>261</v>
      </c>
      <c r="G948" s="2" t="s">
        <v>12</v>
      </c>
      <c r="H948" s="3" t="s">
        <v>799</v>
      </c>
      <c r="I948" s="10" t="str">
        <f>HYPERLINK("http://dx.doi.org/10.3390/fractalfract5040172","http://dx.doi.org/10.3390/fractalfract5040172")</f>
        <v>http://dx.doi.org/10.3390/fractalfract5040172</v>
      </c>
    </row>
    <row r="949" spans="1:9" ht="75" x14ac:dyDescent="0.25">
      <c r="A949" s="2">
        <v>946</v>
      </c>
      <c r="B949" s="3" t="s">
        <v>2825</v>
      </c>
      <c r="C949" s="3" t="s">
        <v>1149</v>
      </c>
      <c r="D949" s="3" t="s">
        <v>2826</v>
      </c>
      <c r="E949" s="2">
        <v>2019</v>
      </c>
      <c r="F949" s="3" t="s">
        <v>261</v>
      </c>
      <c r="G949" s="2" t="s">
        <v>12</v>
      </c>
      <c r="H949" s="3" t="s">
        <v>277</v>
      </c>
      <c r="I949" s="10" t="str">
        <f>HYPERLINK("http://dx.doi.org/10.1016/j.jnoncrysol.2018.09.038","http://dx.doi.org/10.1016/j.jnoncrysol.2018.09.038")</f>
        <v>http://dx.doi.org/10.1016/j.jnoncrysol.2018.09.038</v>
      </c>
    </row>
    <row r="950" spans="1:9" ht="75" x14ac:dyDescent="0.25">
      <c r="A950" s="2">
        <v>947</v>
      </c>
      <c r="B950" s="3" t="s">
        <v>2827</v>
      </c>
      <c r="C950" s="3" t="s">
        <v>461</v>
      </c>
      <c r="D950" s="3" t="s">
        <v>2828</v>
      </c>
      <c r="E950" s="2">
        <v>2018</v>
      </c>
      <c r="F950" s="3" t="s">
        <v>261</v>
      </c>
      <c r="G950" s="2" t="s">
        <v>12</v>
      </c>
      <c r="H950" s="3" t="s">
        <v>485</v>
      </c>
      <c r="I950" s="10" t="str">
        <f>HYPERLINK("http://dx.doi.org/10.5530/ijper.52.2.20","http://dx.doi.org/10.5530/ijper.52.2.20")</f>
        <v>http://dx.doi.org/10.5530/ijper.52.2.20</v>
      </c>
    </row>
    <row r="951" spans="1:9" ht="120" x14ac:dyDescent="0.25">
      <c r="A951" s="2">
        <v>948</v>
      </c>
      <c r="B951" s="3" t="s">
        <v>2829</v>
      </c>
      <c r="C951" s="3" t="s">
        <v>817</v>
      </c>
      <c r="D951" s="3" t="s">
        <v>2830</v>
      </c>
      <c r="E951" s="2">
        <v>2021</v>
      </c>
      <c r="F951" s="3" t="s">
        <v>261</v>
      </c>
      <c r="G951" s="2" t="s">
        <v>12</v>
      </c>
      <c r="H951" s="3" t="s">
        <v>277</v>
      </c>
      <c r="I951" s="10" t="str">
        <f>HYPERLINK("http://dx.doi.org/10.1016/j.molstruc.2020.129597","http://dx.doi.org/10.1016/j.molstruc.2020.129597")</f>
        <v>http://dx.doi.org/10.1016/j.molstruc.2020.129597</v>
      </c>
    </row>
    <row r="952" spans="1:9" ht="75" x14ac:dyDescent="0.25">
      <c r="A952" s="2">
        <v>949</v>
      </c>
      <c r="B952" s="3" t="s">
        <v>2831</v>
      </c>
      <c r="C952" s="3" t="s">
        <v>1152</v>
      </c>
      <c r="D952" s="3" t="s">
        <v>2832</v>
      </c>
      <c r="E952" s="2">
        <v>2023</v>
      </c>
      <c r="F952" s="3" t="s">
        <v>261</v>
      </c>
      <c r="G952" s="2" t="s">
        <v>12</v>
      </c>
      <c r="H952" s="3" t="s">
        <v>439</v>
      </c>
      <c r="I952" s="10" t="str">
        <f>HYPERLINK("http://dx.doi.org/10.1007/s00339-023-06417-3","http://dx.doi.org/10.1007/s00339-023-06417-3")</f>
        <v>http://dx.doi.org/10.1007/s00339-023-06417-3</v>
      </c>
    </row>
    <row r="953" spans="1:9" ht="105" x14ac:dyDescent="0.25">
      <c r="A953" s="2">
        <v>950</v>
      </c>
      <c r="B953" s="3" t="s">
        <v>2833</v>
      </c>
      <c r="C953" s="3" t="s">
        <v>1624</v>
      </c>
      <c r="D953" s="3" t="s">
        <v>2834</v>
      </c>
      <c r="E953" s="2">
        <v>2022</v>
      </c>
      <c r="F953" s="3" t="s">
        <v>261</v>
      </c>
      <c r="G953" s="2" t="s">
        <v>12</v>
      </c>
      <c r="H953" s="3" t="s">
        <v>583</v>
      </c>
      <c r="I953" s="10" t="str">
        <f>HYPERLINK("http://dx.doi.org/10.1155/2022/3941049","http://dx.doi.org/10.1155/2022/3941049")</f>
        <v>http://dx.doi.org/10.1155/2022/3941049</v>
      </c>
    </row>
    <row r="954" spans="1:9" ht="60" x14ac:dyDescent="0.25">
      <c r="A954" s="2">
        <v>951</v>
      </c>
      <c r="B954" s="3" t="s">
        <v>2835</v>
      </c>
      <c r="C954" s="3" t="s">
        <v>2684</v>
      </c>
      <c r="D954" s="3" t="s">
        <v>2836</v>
      </c>
      <c r="E954" s="2">
        <v>2022</v>
      </c>
      <c r="F954" s="3" t="s">
        <v>261</v>
      </c>
      <c r="G954" s="2" t="s">
        <v>12</v>
      </c>
      <c r="H954" s="3" t="s">
        <v>2837</v>
      </c>
      <c r="I954" s="10" t="str">
        <f>HYPERLINK("http://dx.doi.org/10.1016/j.bios.2022.114214","http://dx.doi.org/10.1016/j.bios.2022.114214")</f>
        <v>http://dx.doi.org/10.1016/j.bios.2022.114214</v>
      </c>
    </row>
    <row r="955" spans="1:9" ht="75" x14ac:dyDescent="0.25">
      <c r="A955" s="2">
        <v>952</v>
      </c>
      <c r="B955" s="3" t="s">
        <v>2838</v>
      </c>
      <c r="C955" s="3" t="s">
        <v>2687</v>
      </c>
      <c r="D955" s="3" t="s">
        <v>2839</v>
      </c>
      <c r="E955" s="2">
        <v>2021</v>
      </c>
      <c r="F955" s="3" t="s">
        <v>261</v>
      </c>
      <c r="G955" s="2" t="s">
        <v>12</v>
      </c>
      <c r="H955" s="3" t="s">
        <v>277</v>
      </c>
      <c r="I955" s="10" t="str">
        <f>HYPERLINK("http://dx.doi.org/10.1016/j.catcom.2021.106349","http://dx.doi.org/10.1016/j.catcom.2021.106349")</f>
        <v>http://dx.doi.org/10.1016/j.catcom.2021.106349</v>
      </c>
    </row>
    <row r="956" spans="1:9" ht="90" x14ac:dyDescent="0.25">
      <c r="A956" s="2">
        <v>953</v>
      </c>
      <c r="B956" s="3" t="s">
        <v>2840</v>
      </c>
      <c r="C956" s="3" t="s">
        <v>2690</v>
      </c>
      <c r="D956" s="3" t="s">
        <v>2841</v>
      </c>
      <c r="E956" s="2">
        <v>2022</v>
      </c>
      <c r="F956" s="3" t="s">
        <v>261</v>
      </c>
      <c r="G956" s="2" t="s">
        <v>12</v>
      </c>
      <c r="H956" s="3" t="s">
        <v>799</v>
      </c>
      <c r="I956" s="10" t="str">
        <f>HYPERLINK("http://dx.doi.org/10.3390/catal12121560","http://dx.doi.org/10.3390/catal12121560")</f>
        <v>http://dx.doi.org/10.3390/catal12121560</v>
      </c>
    </row>
    <row r="957" spans="1:9" ht="60" x14ac:dyDescent="0.25">
      <c r="A957" s="2">
        <v>954</v>
      </c>
      <c r="B957" s="3" t="s">
        <v>2842</v>
      </c>
      <c r="C957" s="3" t="s">
        <v>1079</v>
      </c>
      <c r="D957" s="3" t="s">
        <v>2843</v>
      </c>
      <c r="E957" s="2">
        <v>2023</v>
      </c>
      <c r="F957" s="3" t="s">
        <v>261</v>
      </c>
      <c r="G957" s="2" t="s">
        <v>12</v>
      </c>
      <c r="H957" s="3" t="s">
        <v>181</v>
      </c>
      <c r="I957" s="10" t="str">
        <f>HYPERLINK("http://dx.doi.org/10.1016/j.radphyschem.2023.110954","http://dx.doi.org/10.1016/j.radphyschem.2023.110954")</f>
        <v>http://dx.doi.org/10.1016/j.radphyschem.2023.110954</v>
      </c>
    </row>
    <row r="958" spans="1:9" ht="75" x14ac:dyDescent="0.25">
      <c r="A958" s="2">
        <v>955</v>
      </c>
      <c r="B958" s="3" t="s">
        <v>2844</v>
      </c>
      <c r="C958" s="3" t="s">
        <v>2694</v>
      </c>
      <c r="D958" s="3" t="s">
        <v>2845</v>
      </c>
      <c r="E958" s="2">
        <v>2023</v>
      </c>
      <c r="F958" s="3" t="s">
        <v>261</v>
      </c>
      <c r="G958" s="2" t="s">
        <v>12</v>
      </c>
      <c r="H958" s="3" t="s">
        <v>48</v>
      </c>
      <c r="I958" s="10" t="str">
        <f>HYPERLINK("http://dx.doi.org/10.1186/s11671-023-03813-9","http://dx.doi.org/10.1186/s11671-023-03813-9")</f>
        <v>http://dx.doi.org/10.1186/s11671-023-03813-9</v>
      </c>
    </row>
    <row r="959" spans="1:9" ht="75" x14ac:dyDescent="0.25">
      <c r="A959" s="2">
        <v>956</v>
      </c>
      <c r="B959" s="3" t="s">
        <v>2846</v>
      </c>
      <c r="C959" s="3" t="s">
        <v>1370</v>
      </c>
      <c r="D959" s="3" t="s">
        <v>2847</v>
      </c>
      <c r="E959" s="2">
        <v>2023</v>
      </c>
      <c r="F959" s="3" t="s">
        <v>261</v>
      </c>
      <c r="G959" s="2" t="s">
        <v>12</v>
      </c>
      <c r="H959" s="3" t="s">
        <v>1202</v>
      </c>
      <c r="I959" s="10" t="str">
        <f>HYPERLINK("http://dx.doi.org/10.1016/j.matchemphys.2023.127546","http://dx.doi.org/10.1016/j.matchemphys.2023.127546")</f>
        <v>http://dx.doi.org/10.1016/j.matchemphys.2023.127546</v>
      </c>
    </row>
    <row r="960" spans="1:9" ht="60" x14ac:dyDescent="0.25">
      <c r="A960" s="2">
        <v>957</v>
      </c>
      <c r="B960" s="3" t="s">
        <v>2848</v>
      </c>
      <c r="C960" s="3" t="s">
        <v>2700</v>
      </c>
      <c r="D960" s="3" t="s">
        <v>2849</v>
      </c>
      <c r="E960" s="2">
        <v>2021</v>
      </c>
      <c r="F960" s="3" t="s">
        <v>261</v>
      </c>
      <c r="G960" s="2" t="s">
        <v>12</v>
      </c>
      <c r="H960" s="3" t="s">
        <v>277</v>
      </c>
      <c r="I960" s="10" t="str">
        <f>HYPERLINK("http://dx.doi.org/10.1016/j.sjbs.2020.12.022","http://dx.doi.org/10.1016/j.sjbs.2020.12.022")</f>
        <v>http://dx.doi.org/10.1016/j.sjbs.2020.12.022</v>
      </c>
    </row>
    <row r="961" spans="1:9" ht="75" x14ac:dyDescent="0.25">
      <c r="A961" s="2">
        <v>958</v>
      </c>
      <c r="B961" s="3" t="s">
        <v>2850</v>
      </c>
      <c r="C961" s="3" t="s">
        <v>2703</v>
      </c>
      <c r="D961" s="3" t="s">
        <v>2851</v>
      </c>
      <c r="E961" s="2">
        <v>2021</v>
      </c>
      <c r="F961" s="3" t="s">
        <v>261</v>
      </c>
      <c r="G961" s="2" t="s">
        <v>12</v>
      </c>
      <c r="H961" s="3" t="s">
        <v>277</v>
      </c>
      <c r="I961" s="10" t="str">
        <f>HYPERLINK("http://dx.doi.org/10.1016/j.jscs.2021.101359","http://dx.doi.org/10.1016/j.jscs.2021.101359")</f>
        <v>http://dx.doi.org/10.1016/j.jscs.2021.101359</v>
      </c>
    </row>
    <row r="962" spans="1:9" ht="75" x14ac:dyDescent="0.25">
      <c r="A962" s="2">
        <v>959</v>
      </c>
      <c r="B962" s="3" t="s">
        <v>2852</v>
      </c>
      <c r="C962" s="3" t="s">
        <v>2706</v>
      </c>
      <c r="D962" s="3" t="s">
        <v>2853</v>
      </c>
      <c r="E962" s="2">
        <v>2022</v>
      </c>
      <c r="F962" s="3" t="s">
        <v>2854</v>
      </c>
      <c r="G962" s="2" t="s">
        <v>12</v>
      </c>
      <c r="H962" s="3" t="s">
        <v>2855</v>
      </c>
      <c r="I962" s="10" t="s">
        <v>2856</v>
      </c>
    </row>
    <row r="963" spans="1:9" ht="75" x14ac:dyDescent="0.25">
      <c r="A963" s="2">
        <v>960</v>
      </c>
      <c r="B963" s="3" t="s">
        <v>2857</v>
      </c>
      <c r="C963" s="3" t="s">
        <v>1152</v>
      </c>
      <c r="D963" s="3" t="s">
        <v>2858</v>
      </c>
      <c r="E963" s="2">
        <v>2021</v>
      </c>
      <c r="F963" s="3" t="s">
        <v>261</v>
      </c>
      <c r="G963" s="2" t="s">
        <v>12</v>
      </c>
      <c r="H963" s="3" t="s">
        <v>439</v>
      </c>
      <c r="I963" s="10" t="str">
        <f>HYPERLINK("http://dx.doi.org/10.1007/s00339-021-04743-y","http://dx.doi.org/10.1007/s00339-021-04743-y")</f>
        <v>http://dx.doi.org/10.1007/s00339-021-04743-y</v>
      </c>
    </row>
    <row r="964" spans="1:9" ht="75" x14ac:dyDescent="0.25">
      <c r="A964" s="2">
        <v>961</v>
      </c>
      <c r="B964" s="3" t="s">
        <v>2859</v>
      </c>
      <c r="C964" s="3" t="s">
        <v>25</v>
      </c>
      <c r="D964" s="3" t="s">
        <v>2860</v>
      </c>
      <c r="E964" s="2">
        <v>2021</v>
      </c>
      <c r="F964" s="3" t="s">
        <v>261</v>
      </c>
      <c r="G964" s="2" t="s">
        <v>12</v>
      </c>
      <c r="H964" s="3" t="s">
        <v>28</v>
      </c>
      <c r="I964" s="10" t="str">
        <f>HYPERLINK("http://dx.doi.org/10.1021/acsomega.1c01548","http://dx.doi.org/10.1021/acsomega.1c01548")</f>
        <v>http://dx.doi.org/10.1021/acsomega.1c01548</v>
      </c>
    </row>
    <row r="965" spans="1:9" ht="75" x14ac:dyDescent="0.25">
      <c r="A965" s="2">
        <v>962</v>
      </c>
      <c r="B965" s="3" t="s">
        <v>2861</v>
      </c>
      <c r="C965" s="3" t="s">
        <v>265</v>
      </c>
      <c r="D965" s="3" t="s">
        <v>2862</v>
      </c>
      <c r="E965" s="2">
        <v>2021</v>
      </c>
      <c r="F965" s="3" t="s">
        <v>261</v>
      </c>
      <c r="G965" s="2" t="s">
        <v>12</v>
      </c>
      <c r="H965" s="3" t="s">
        <v>277</v>
      </c>
      <c r="I965" s="10" t="str">
        <f>HYPERLINK("http://dx.doi.org/10.1016/j.jksus.2021.101349","http://dx.doi.org/10.1016/j.jksus.2021.101349")</f>
        <v>http://dx.doi.org/10.1016/j.jksus.2021.101349</v>
      </c>
    </row>
    <row r="966" spans="1:9" ht="90" x14ac:dyDescent="0.25">
      <c r="A966" s="2">
        <v>963</v>
      </c>
      <c r="B966" s="3" t="s">
        <v>2863</v>
      </c>
      <c r="C966" s="3" t="s">
        <v>2668</v>
      </c>
      <c r="D966" s="3" t="s">
        <v>2864</v>
      </c>
      <c r="E966" s="2">
        <v>2018</v>
      </c>
      <c r="F966" s="3" t="s">
        <v>261</v>
      </c>
      <c r="G966" s="2" t="s">
        <v>12</v>
      </c>
      <c r="H966" s="3" t="s">
        <v>181</v>
      </c>
      <c r="I966" s="10" t="str">
        <f>HYPERLINK("http://dx.doi.org/10.1016/j.jpcs.2017.09.005","http://dx.doi.org/10.1016/j.jpcs.2017.09.005")</f>
        <v>http://dx.doi.org/10.1016/j.jpcs.2017.09.005</v>
      </c>
    </row>
    <row r="967" spans="1:9" ht="90" x14ac:dyDescent="0.25">
      <c r="A967" s="2">
        <v>964</v>
      </c>
      <c r="B967" s="3" t="s">
        <v>2865</v>
      </c>
      <c r="C967" s="3" t="s">
        <v>56</v>
      </c>
      <c r="D967" s="3" t="s">
        <v>2866</v>
      </c>
      <c r="E967" s="2">
        <v>2020</v>
      </c>
      <c r="F967" s="3" t="s">
        <v>261</v>
      </c>
      <c r="G967" s="2" t="s">
        <v>12</v>
      </c>
      <c r="H967" s="3" t="s">
        <v>58</v>
      </c>
      <c r="I967" s="10" t="str">
        <f>HYPERLINK("http://dx.doi.org/10.1039/d0ra03586f","http://dx.doi.org/10.1039/d0ra03586f")</f>
        <v>http://dx.doi.org/10.1039/d0ra03586f</v>
      </c>
    </row>
    <row r="968" spans="1:9" ht="120" x14ac:dyDescent="0.25">
      <c r="A968" s="2">
        <v>965</v>
      </c>
      <c r="B968" s="3" t="s">
        <v>2867</v>
      </c>
      <c r="C968" s="3" t="s">
        <v>2721</v>
      </c>
      <c r="D968" s="3" t="s">
        <v>2868</v>
      </c>
      <c r="E968" s="2">
        <v>2023</v>
      </c>
      <c r="F968" s="3" t="s">
        <v>261</v>
      </c>
      <c r="G968" s="2" t="s">
        <v>12</v>
      </c>
      <c r="H968" s="3" t="s">
        <v>2869</v>
      </c>
      <c r="I968" s="10" t="str">
        <f>HYPERLINK("http://dx.doi.org/10.1515/chem-2023-0125","http://dx.doi.org/10.1515/chem-2023-0125")</f>
        <v>http://dx.doi.org/10.1515/chem-2023-0125</v>
      </c>
    </row>
    <row r="969" spans="1:9" ht="90" x14ac:dyDescent="0.25">
      <c r="A969" s="2">
        <v>966</v>
      </c>
      <c r="B969" s="3" t="s">
        <v>2870</v>
      </c>
      <c r="C969" s="3" t="s">
        <v>2441</v>
      </c>
      <c r="D969" s="3" t="s">
        <v>2871</v>
      </c>
      <c r="E969" s="2">
        <v>2018</v>
      </c>
      <c r="F969" s="3" t="s">
        <v>261</v>
      </c>
      <c r="G969" s="2" t="s">
        <v>12</v>
      </c>
      <c r="H969" s="3" t="s">
        <v>38</v>
      </c>
      <c r="I969" s="10" t="str">
        <f>HYPERLINK("http://dx.doi.org/10.2174/1389557516666161226161152","http://dx.doi.org/10.2174/1389557516666161226161152")</f>
        <v>http://dx.doi.org/10.2174/1389557516666161226161152</v>
      </c>
    </row>
    <row r="970" spans="1:9" ht="120" x14ac:dyDescent="0.25">
      <c r="A970" s="2">
        <v>967</v>
      </c>
      <c r="B970" s="3" t="s">
        <v>2872</v>
      </c>
      <c r="C970" s="3" t="s">
        <v>2727</v>
      </c>
      <c r="D970" s="3" t="s">
        <v>2873</v>
      </c>
      <c r="E970" s="2">
        <v>2022</v>
      </c>
      <c r="F970" s="3" t="s">
        <v>261</v>
      </c>
      <c r="G970" s="2" t="s">
        <v>12</v>
      </c>
      <c r="H970" s="3" t="s">
        <v>48</v>
      </c>
      <c r="I970" s="10" t="str">
        <f>HYPERLINK("http://dx.doi.org/10.1007/s10971-022-05951-5","http://dx.doi.org/10.1007/s10971-022-05951-5")</f>
        <v>http://dx.doi.org/10.1007/s10971-022-05951-5</v>
      </c>
    </row>
    <row r="971" spans="1:9" ht="75" x14ac:dyDescent="0.25">
      <c r="A971" s="2">
        <v>968</v>
      </c>
      <c r="B971" s="3" t="s">
        <v>2874</v>
      </c>
      <c r="C971" s="3" t="s">
        <v>1744</v>
      </c>
      <c r="D971" s="3" t="s">
        <v>2875</v>
      </c>
      <c r="E971" s="2">
        <v>2021</v>
      </c>
      <c r="F971" s="3" t="s">
        <v>261</v>
      </c>
      <c r="G971" s="2" t="s">
        <v>12</v>
      </c>
      <c r="H971" s="3" t="s">
        <v>799</v>
      </c>
      <c r="I971" s="10" t="str">
        <f>HYPERLINK("http://dx.doi.org/10.3390/fractalfract5040178","http://dx.doi.org/10.3390/fractalfract5040178")</f>
        <v>http://dx.doi.org/10.3390/fractalfract5040178</v>
      </c>
    </row>
    <row r="972" spans="1:9" ht="60" x14ac:dyDescent="0.25">
      <c r="A972" s="2">
        <v>969</v>
      </c>
      <c r="B972" s="3" t="s">
        <v>2876</v>
      </c>
      <c r="C972" s="3" t="s">
        <v>1853</v>
      </c>
      <c r="D972" s="3" t="s">
        <v>2877</v>
      </c>
      <c r="E972" s="2">
        <v>2021</v>
      </c>
      <c r="F972" s="3" t="s">
        <v>261</v>
      </c>
      <c r="G972" s="2" t="s">
        <v>12</v>
      </c>
      <c r="H972" s="3" t="s">
        <v>48</v>
      </c>
      <c r="I972" s="10" t="str">
        <f>HYPERLINK("http://dx.doi.org/10.1186/s13662-021-03582-8","http://dx.doi.org/10.1186/s13662-021-03582-8")</f>
        <v>http://dx.doi.org/10.1186/s13662-021-03582-8</v>
      </c>
    </row>
    <row r="973" spans="1:9" ht="75" x14ac:dyDescent="0.25">
      <c r="A973" s="2">
        <v>970</v>
      </c>
      <c r="B973" s="3" t="s">
        <v>2878</v>
      </c>
      <c r="C973" s="3" t="s">
        <v>40</v>
      </c>
      <c r="D973" s="3" t="s">
        <v>2879</v>
      </c>
      <c r="E973" s="2">
        <v>2022</v>
      </c>
      <c r="F973" s="3" t="s">
        <v>261</v>
      </c>
      <c r="G973" s="2" t="s">
        <v>12</v>
      </c>
      <c r="H973" s="3" t="s">
        <v>43</v>
      </c>
      <c r="I973" s="10" t="str">
        <f>HYPERLINK("http://dx.doi.org/10.3934/math.20221125","http://dx.doi.org/10.3934/math.20221125")</f>
        <v>http://dx.doi.org/10.3934/math.20221125</v>
      </c>
    </row>
    <row r="974" spans="1:9" ht="105" x14ac:dyDescent="0.25">
      <c r="A974" s="2">
        <v>971</v>
      </c>
      <c r="B974" s="3" t="s">
        <v>2880</v>
      </c>
      <c r="C974" s="3" t="s">
        <v>137</v>
      </c>
      <c r="D974" s="3" t="s">
        <v>2881</v>
      </c>
      <c r="E974" s="2">
        <v>2020</v>
      </c>
      <c r="F974" s="3" t="s">
        <v>261</v>
      </c>
      <c r="G974" s="2" t="s">
        <v>12</v>
      </c>
      <c r="H974" s="3" t="s">
        <v>28</v>
      </c>
      <c r="I974" s="10" t="str">
        <f>HYPERLINK("http://dx.doi.org/10.1021/acsaem.0c02325","http://dx.doi.org/10.1021/acsaem.0c02325")</f>
        <v>http://dx.doi.org/10.1021/acsaem.0c02325</v>
      </c>
    </row>
    <row r="975" spans="1:9" ht="75" x14ac:dyDescent="0.25">
      <c r="A975" s="2">
        <v>972</v>
      </c>
      <c r="B975" s="3" t="s">
        <v>2882</v>
      </c>
      <c r="C975" s="3" t="s">
        <v>25</v>
      </c>
      <c r="D975" s="3" t="s">
        <v>2883</v>
      </c>
      <c r="E975" s="2">
        <v>2018</v>
      </c>
      <c r="F975" s="3" t="s">
        <v>261</v>
      </c>
      <c r="G975" s="2" t="s">
        <v>12</v>
      </c>
      <c r="H975" s="3" t="s">
        <v>28</v>
      </c>
      <c r="I975" s="10" t="str">
        <f>HYPERLINK("http://dx.doi.org/10.1021/acsomega.8b01903","http://dx.doi.org/10.1021/acsomega.8b01903")</f>
        <v>http://dx.doi.org/10.1021/acsomega.8b01903</v>
      </c>
    </row>
    <row r="976" spans="1:9" ht="60" x14ac:dyDescent="0.25">
      <c r="A976" s="2">
        <v>973</v>
      </c>
      <c r="B976" s="3" t="s">
        <v>2884</v>
      </c>
      <c r="C976" s="3" t="s">
        <v>1853</v>
      </c>
      <c r="D976" s="3" t="s">
        <v>2885</v>
      </c>
      <c r="E976" s="2">
        <v>2021</v>
      </c>
      <c r="F976" s="3" t="s">
        <v>261</v>
      </c>
      <c r="G976" s="2" t="s">
        <v>12</v>
      </c>
      <c r="H976" s="3" t="s">
        <v>48</v>
      </c>
      <c r="I976" s="10" t="str">
        <f>HYPERLINK("http://dx.doi.org/10.1186/s13662-021-03455-0","http://dx.doi.org/10.1186/s13662-021-03455-0")</f>
        <v>http://dx.doi.org/10.1186/s13662-021-03455-0</v>
      </c>
    </row>
    <row r="977" spans="1:9" ht="75" x14ac:dyDescent="0.25">
      <c r="A977" s="2">
        <v>974</v>
      </c>
      <c r="B977" s="3" t="s">
        <v>2886</v>
      </c>
      <c r="C977" s="3" t="s">
        <v>1152</v>
      </c>
      <c r="D977" s="3" t="s">
        <v>2887</v>
      </c>
      <c r="E977" s="2">
        <v>2020</v>
      </c>
      <c r="F977" s="3" t="s">
        <v>261</v>
      </c>
      <c r="G977" s="2" t="s">
        <v>12</v>
      </c>
      <c r="H977" s="3" t="s">
        <v>439</v>
      </c>
      <c r="I977" s="10" t="str">
        <f>HYPERLINK("http://dx.doi.org/10.1007/s00339-020-03669-1","http://dx.doi.org/10.1007/s00339-020-03669-1")</f>
        <v>http://dx.doi.org/10.1007/s00339-020-03669-1</v>
      </c>
    </row>
    <row r="978" spans="1:9" ht="60" x14ac:dyDescent="0.25">
      <c r="A978" s="2">
        <v>975</v>
      </c>
      <c r="B978" s="3" t="s">
        <v>2888</v>
      </c>
      <c r="C978" s="3" t="s">
        <v>1853</v>
      </c>
      <c r="D978" s="3" t="s">
        <v>2889</v>
      </c>
      <c r="E978" s="2">
        <v>2021</v>
      </c>
      <c r="F978" s="3" t="s">
        <v>261</v>
      </c>
      <c r="G978" s="2" t="s">
        <v>12</v>
      </c>
      <c r="H978" s="3" t="s">
        <v>48</v>
      </c>
      <c r="I978" s="10" t="str">
        <f>HYPERLINK("http://dx.doi.org/10.1186/s13662-021-03651-y","http://dx.doi.org/10.1186/s13662-021-03651-y")</f>
        <v>http://dx.doi.org/10.1186/s13662-021-03651-y</v>
      </c>
    </row>
    <row r="979" spans="1:9" ht="90" x14ac:dyDescent="0.25">
      <c r="A979" s="2">
        <v>976</v>
      </c>
      <c r="B979" s="3" t="s">
        <v>2890</v>
      </c>
      <c r="C979" s="3" t="s">
        <v>1342</v>
      </c>
      <c r="D979" s="3" t="s">
        <v>2891</v>
      </c>
      <c r="E979" s="2">
        <v>2022</v>
      </c>
      <c r="F979" s="3" t="s">
        <v>261</v>
      </c>
      <c r="G979" s="2" t="s">
        <v>12</v>
      </c>
      <c r="H979" s="3" t="s">
        <v>799</v>
      </c>
      <c r="I979" s="10" t="str">
        <f>HYPERLINK("http://dx.doi.org/10.3390/electronics11040530","http://dx.doi.org/10.3390/electronics11040530")</f>
        <v>http://dx.doi.org/10.3390/electronics11040530</v>
      </c>
    </row>
    <row r="980" spans="1:9" ht="75" x14ac:dyDescent="0.25">
      <c r="A980" s="2">
        <v>977</v>
      </c>
      <c r="B980" s="3" t="s">
        <v>2892</v>
      </c>
      <c r="C980" s="3" t="s">
        <v>1778</v>
      </c>
      <c r="D980" s="3" t="s">
        <v>2893</v>
      </c>
      <c r="E980" s="2">
        <v>2021</v>
      </c>
      <c r="F980" s="3" t="s">
        <v>261</v>
      </c>
      <c r="G980" s="2" t="s">
        <v>12</v>
      </c>
      <c r="H980" s="3" t="s">
        <v>1011</v>
      </c>
      <c r="I980" s="10" t="str">
        <f>HYPERLINK("http://dx.doi.org/10.1016/j.ijleo.2021.167913","http://dx.doi.org/10.1016/j.ijleo.2021.167913")</f>
        <v>http://dx.doi.org/10.1016/j.ijleo.2021.167913</v>
      </c>
    </row>
    <row r="981" spans="1:9" ht="90" x14ac:dyDescent="0.25">
      <c r="A981" s="2">
        <v>978</v>
      </c>
      <c r="B981" s="3" t="s">
        <v>2894</v>
      </c>
      <c r="C981" s="3" t="s">
        <v>2754</v>
      </c>
      <c r="D981" s="3" t="s">
        <v>2895</v>
      </c>
      <c r="E981" s="2">
        <v>2020</v>
      </c>
      <c r="F981" s="3" t="s">
        <v>261</v>
      </c>
      <c r="G981" s="2" t="s">
        <v>12</v>
      </c>
      <c r="H981" s="3" t="s">
        <v>181</v>
      </c>
      <c r="I981" s="10" t="str">
        <f>HYPERLINK("http://dx.doi.org/10.1016/j.pnucene.2019.103047","http://dx.doi.org/10.1016/j.pnucene.2019.103047")</f>
        <v>http://dx.doi.org/10.1016/j.pnucene.2019.103047</v>
      </c>
    </row>
    <row r="982" spans="1:9" ht="75" x14ac:dyDescent="0.25">
      <c r="A982" s="2">
        <v>979</v>
      </c>
      <c r="B982" s="3" t="s">
        <v>2896</v>
      </c>
      <c r="C982" s="3" t="s">
        <v>211</v>
      </c>
      <c r="D982" s="3" t="s">
        <v>2897</v>
      </c>
      <c r="E982" s="2">
        <v>2021</v>
      </c>
      <c r="F982" s="3" t="s">
        <v>261</v>
      </c>
      <c r="G982" s="2" t="s">
        <v>12</v>
      </c>
      <c r="H982" s="3" t="s">
        <v>48</v>
      </c>
      <c r="I982" s="10" t="str">
        <f>HYPERLINK("http://dx.doi.org/10.1007/s10854-021-06842-1","http://dx.doi.org/10.1007/s10854-021-06842-1")</f>
        <v>http://dx.doi.org/10.1007/s10854-021-06842-1</v>
      </c>
    </row>
    <row r="983" spans="1:9" ht="165" x14ac:dyDescent="0.25">
      <c r="A983" s="2">
        <v>980</v>
      </c>
      <c r="B983" s="3" t="s">
        <v>2898</v>
      </c>
      <c r="C983" s="3" t="s">
        <v>1512</v>
      </c>
      <c r="D983" s="3" t="s">
        <v>2899</v>
      </c>
      <c r="E983" s="2">
        <v>2021</v>
      </c>
      <c r="F983" s="3" t="s">
        <v>261</v>
      </c>
      <c r="G983" s="2" t="s">
        <v>12</v>
      </c>
      <c r="H983" s="3" t="s">
        <v>1613</v>
      </c>
      <c r="I983" s="10" t="str">
        <f>HYPERLINK("http://dx.doi.org/10.1016/j.bioorg.2021.105174","http://dx.doi.org/10.1016/j.bioorg.2021.105174")</f>
        <v>http://dx.doi.org/10.1016/j.bioorg.2021.105174</v>
      </c>
    </row>
    <row r="984" spans="1:9" ht="105" x14ac:dyDescent="0.25">
      <c r="A984" s="2">
        <v>981</v>
      </c>
      <c r="B984" s="3" t="s">
        <v>2900</v>
      </c>
      <c r="C984" s="3" t="s">
        <v>817</v>
      </c>
      <c r="D984" s="3" t="s">
        <v>2901</v>
      </c>
      <c r="E984" s="2">
        <v>2023</v>
      </c>
      <c r="F984" s="3" t="s">
        <v>261</v>
      </c>
      <c r="G984" s="2" t="s">
        <v>12</v>
      </c>
      <c r="H984" s="3" t="s">
        <v>277</v>
      </c>
      <c r="I984" s="10" t="str">
        <f>HYPERLINK("http://dx.doi.org/10.1016/j.molstruc.2023.135943","http://dx.doi.org/10.1016/j.molstruc.2023.135943")</f>
        <v>http://dx.doi.org/10.1016/j.molstruc.2023.135943</v>
      </c>
    </row>
    <row r="985" spans="1:9" ht="90" x14ac:dyDescent="0.25">
      <c r="A985" s="2">
        <v>982</v>
      </c>
      <c r="B985" s="3" t="s">
        <v>2902</v>
      </c>
      <c r="C985" s="3" t="s">
        <v>1969</v>
      </c>
      <c r="D985" s="3" t="s">
        <v>2903</v>
      </c>
      <c r="E985" s="2">
        <v>2022</v>
      </c>
      <c r="F985" s="3" t="s">
        <v>261</v>
      </c>
      <c r="G985" s="2" t="s">
        <v>12</v>
      </c>
      <c r="H985" s="3" t="s">
        <v>1202</v>
      </c>
      <c r="I985" s="10" t="str">
        <f>HYPERLINK("http://dx.doi.org/10.1016/j.jallcom.2021.165397","http://dx.doi.org/10.1016/j.jallcom.2021.165397")</f>
        <v>http://dx.doi.org/10.1016/j.jallcom.2021.165397</v>
      </c>
    </row>
    <row r="986" spans="1:9" ht="60" x14ac:dyDescent="0.25">
      <c r="A986" s="2">
        <v>983</v>
      </c>
      <c r="B986" s="3" t="s">
        <v>2904</v>
      </c>
      <c r="C986" s="3" t="s">
        <v>2766</v>
      </c>
      <c r="D986" s="3" t="s">
        <v>2905</v>
      </c>
      <c r="E986" s="2">
        <v>2022</v>
      </c>
      <c r="F986" s="3" t="s">
        <v>261</v>
      </c>
      <c r="G986" s="2" t="s">
        <v>12</v>
      </c>
      <c r="H986" s="3" t="s">
        <v>28</v>
      </c>
      <c r="I986" s="10" t="str">
        <f>HYPERLINK("http://dx.doi.org/10.1021/acs.inorgchem.2c00735","http://dx.doi.org/10.1021/acs.inorgchem.2c00735")</f>
        <v>http://dx.doi.org/10.1021/acs.inorgchem.2c00735</v>
      </c>
    </row>
    <row r="987" spans="1:9" ht="105" x14ac:dyDescent="0.25">
      <c r="A987" s="2">
        <v>984</v>
      </c>
      <c r="B987" s="3" t="s">
        <v>2906</v>
      </c>
      <c r="C987" s="3" t="s">
        <v>1152</v>
      </c>
      <c r="D987" s="3" t="s">
        <v>2907</v>
      </c>
      <c r="E987" s="2">
        <v>2023</v>
      </c>
      <c r="F987" s="3" t="s">
        <v>261</v>
      </c>
      <c r="G987" s="2" t="s">
        <v>12</v>
      </c>
      <c r="H987" s="3" t="s">
        <v>439</v>
      </c>
      <c r="I987" s="10" t="str">
        <f>HYPERLINK("http://dx.doi.org/10.1007/s00339-023-07103-0","http://dx.doi.org/10.1007/s00339-023-07103-0")</f>
        <v>http://dx.doi.org/10.1007/s00339-023-07103-0</v>
      </c>
    </row>
    <row r="988" spans="1:9" ht="135" x14ac:dyDescent="0.25">
      <c r="A988" s="2">
        <v>985</v>
      </c>
      <c r="B988" s="3" t="s">
        <v>2908</v>
      </c>
      <c r="C988" s="3" t="s">
        <v>2562</v>
      </c>
      <c r="D988" s="3" t="s">
        <v>2909</v>
      </c>
      <c r="E988" s="2">
        <v>2023</v>
      </c>
      <c r="F988" s="3" t="s">
        <v>261</v>
      </c>
      <c r="G988" s="2" t="s">
        <v>12</v>
      </c>
      <c r="H988" s="3" t="s">
        <v>2666</v>
      </c>
      <c r="I988" s="10" t="str">
        <f>HYPERLINK("http://dx.doi.org/10.1149/1945-7111/acc9df","http://dx.doi.org/10.1149/1945-7111/acc9df")</f>
        <v>http://dx.doi.org/10.1149/1945-7111/acc9df</v>
      </c>
    </row>
    <row r="989" spans="1:9" ht="105" x14ac:dyDescent="0.25">
      <c r="A989" s="2">
        <v>986</v>
      </c>
      <c r="B989" s="3" t="s">
        <v>2910</v>
      </c>
      <c r="C989" s="3" t="s">
        <v>2773</v>
      </c>
      <c r="D989" s="3" t="s">
        <v>2911</v>
      </c>
      <c r="E989" s="2">
        <v>2020</v>
      </c>
      <c r="F989" s="3" t="s">
        <v>261</v>
      </c>
      <c r="G989" s="2" t="s">
        <v>12</v>
      </c>
      <c r="H989" s="3" t="s">
        <v>799</v>
      </c>
      <c r="I989" s="10" t="str">
        <f>HYPERLINK("http://dx.doi.org/10.3390/microorganisms8101626","http://dx.doi.org/10.3390/microorganisms8101626")</f>
        <v>http://dx.doi.org/10.3390/microorganisms8101626</v>
      </c>
    </row>
    <row r="990" spans="1:9" ht="135" x14ac:dyDescent="0.25">
      <c r="A990" s="2">
        <v>987</v>
      </c>
      <c r="B990" s="3" t="s">
        <v>2912</v>
      </c>
      <c r="C990" s="3" t="s">
        <v>2776</v>
      </c>
      <c r="D990" s="3" t="s">
        <v>2913</v>
      </c>
      <c r="E990" s="2">
        <v>2019</v>
      </c>
      <c r="F990" s="3" t="s">
        <v>261</v>
      </c>
      <c r="G990" s="2" t="s">
        <v>12</v>
      </c>
      <c r="H990" s="3" t="s">
        <v>277</v>
      </c>
      <c r="I990" s="10" t="str">
        <f>HYPERLINK("http://dx.doi.org/10.1016/j.apcatb.2018.09.039","http://dx.doi.org/10.1016/j.apcatb.2018.09.039")</f>
        <v>http://dx.doi.org/10.1016/j.apcatb.2018.09.039</v>
      </c>
    </row>
    <row r="991" spans="1:9" ht="75" x14ac:dyDescent="0.25">
      <c r="A991" s="2">
        <v>988</v>
      </c>
      <c r="B991" s="3" t="s">
        <v>2914</v>
      </c>
      <c r="C991" s="3" t="s">
        <v>2779</v>
      </c>
      <c r="D991" s="3" t="s">
        <v>2915</v>
      </c>
      <c r="E991" s="2">
        <v>2022</v>
      </c>
      <c r="F991" s="3" t="s">
        <v>261</v>
      </c>
      <c r="G991" s="2" t="s">
        <v>12</v>
      </c>
      <c r="H991" s="3" t="s">
        <v>1202</v>
      </c>
      <c r="I991" s="10" t="str">
        <f>HYPERLINK("http://dx.doi.org/10.1016/j.cej.2022.136010","http://dx.doi.org/10.1016/j.cej.2022.136010")</f>
        <v>http://dx.doi.org/10.1016/j.cej.2022.136010</v>
      </c>
    </row>
    <row r="992" spans="1:9" ht="105" x14ac:dyDescent="0.25">
      <c r="A992" s="2">
        <v>989</v>
      </c>
      <c r="B992" s="3" t="s">
        <v>2916</v>
      </c>
      <c r="C992" s="3" t="s">
        <v>2613</v>
      </c>
      <c r="D992" s="3" t="s">
        <v>2917</v>
      </c>
      <c r="E992" s="2">
        <v>2022</v>
      </c>
      <c r="F992" s="3" t="s">
        <v>261</v>
      </c>
      <c r="G992" s="2" t="s">
        <v>12</v>
      </c>
      <c r="H992" s="3" t="s">
        <v>583</v>
      </c>
      <c r="I992" s="10" t="str">
        <f>HYPERLINK("http://dx.doi.org/10.1155/2022/1372199","http://dx.doi.org/10.1155/2022/1372199")</f>
        <v>http://dx.doi.org/10.1155/2022/1372199</v>
      </c>
    </row>
    <row r="993" spans="1:9" ht="75" x14ac:dyDescent="0.25">
      <c r="A993" s="2">
        <v>990</v>
      </c>
      <c r="B993" s="3" t="s">
        <v>2918</v>
      </c>
      <c r="C993" s="3" t="s">
        <v>2783</v>
      </c>
      <c r="D993" s="3" t="s">
        <v>2919</v>
      </c>
      <c r="E993" s="2">
        <v>2023</v>
      </c>
      <c r="F993" s="3" t="s">
        <v>261</v>
      </c>
      <c r="G993" s="2" t="s">
        <v>12</v>
      </c>
      <c r="H993" s="3" t="s">
        <v>1967</v>
      </c>
      <c r="I993" s="10" t="str">
        <f>HYPERLINK("http://dx.doi.org/10.32604/csse.2023.027979","http://dx.doi.org/10.32604/csse.2023.027979")</f>
        <v>http://dx.doi.org/10.32604/csse.2023.027979</v>
      </c>
    </row>
    <row r="994" spans="1:9" ht="105" x14ac:dyDescent="0.25">
      <c r="A994" s="2">
        <v>991</v>
      </c>
      <c r="B994" s="3" t="s">
        <v>2920</v>
      </c>
      <c r="C994" s="3" t="s">
        <v>1919</v>
      </c>
      <c r="D994" s="3" t="s">
        <v>2921</v>
      </c>
      <c r="E994" s="2">
        <v>2022</v>
      </c>
      <c r="F994" s="3" t="s">
        <v>261</v>
      </c>
      <c r="G994" s="2" t="s">
        <v>12</v>
      </c>
      <c r="H994" s="3" t="s">
        <v>277</v>
      </c>
      <c r="I994" s="10" t="str">
        <f>HYPERLINK("http://dx.doi.org/10.1016/j.rechem.2022.100617","http://dx.doi.org/10.1016/j.rechem.2022.100617")</f>
        <v>http://dx.doi.org/10.1016/j.rechem.2022.100617</v>
      </c>
    </row>
    <row r="995" spans="1:9" ht="120" x14ac:dyDescent="0.25">
      <c r="A995" s="2">
        <v>992</v>
      </c>
      <c r="B995" s="3" t="s">
        <v>2922</v>
      </c>
      <c r="C995" s="3" t="s">
        <v>1695</v>
      </c>
      <c r="D995" s="3" t="s">
        <v>2923</v>
      </c>
      <c r="E995" s="2">
        <v>2018</v>
      </c>
      <c r="F995" s="3" t="s">
        <v>261</v>
      </c>
      <c r="G995" s="2" t="s">
        <v>12</v>
      </c>
      <c r="H995" s="3" t="s">
        <v>181</v>
      </c>
      <c r="I995" s="10" t="str">
        <f>HYPERLINK("http://dx.doi.org/10.1016/j.bmcl.2017.12.013","http://dx.doi.org/10.1016/j.bmcl.2017.12.013")</f>
        <v>http://dx.doi.org/10.1016/j.bmcl.2017.12.013</v>
      </c>
    </row>
    <row r="996" spans="1:9" ht="75" x14ac:dyDescent="0.25">
      <c r="A996" s="2">
        <v>993</v>
      </c>
      <c r="B996" s="3" t="s">
        <v>2924</v>
      </c>
      <c r="C996" s="3" t="s">
        <v>1797</v>
      </c>
      <c r="D996" s="3" t="s">
        <v>2925</v>
      </c>
      <c r="E996" s="2">
        <v>2022</v>
      </c>
      <c r="F996" s="3" t="s">
        <v>261</v>
      </c>
      <c r="G996" s="2" t="s">
        <v>12</v>
      </c>
      <c r="H996" s="3" t="s">
        <v>583</v>
      </c>
      <c r="I996" s="10" t="str">
        <f>HYPERLINK("http://dx.doi.org/10.1155/2022/2350193","http://dx.doi.org/10.1155/2022/2350193")</f>
        <v>http://dx.doi.org/10.1155/2022/2350193</v>
      </c>
    </row>
    <row r="997" spans="1:9" ht="90" x14ac:dyDescent="0.25">
      <c r="A997" s="2">
        <v>994</v>
      </c>
      <c r="B997" s="3" t="s">
        <v>2926</v>
      </c>
      <c r="C997" s="3" t="s">
        <v>2791</v>
      </c>
      <c r="D997" s="3" t="s">
        <v>2927</v>
      </c>
      <c r="E997" s="2">
        <v>2021</v>
      </c>
      <c r="F997" s="3" t="s">
        <v>261</v>
      </c>
      <c r="G997" s="2" t="s">
        <v>12</v>
      </c>
      <c r="H997" s="3" t="s">
        <v>583</v>
      </c>
      <c r="I997" s="10" t="str">
        <f>HYPERLINK("http://dx.doi.org/10.1155/2021/1004767","http://dx.doi.org/10.1155/2021/1004767")</f>
        <v>http://dx.doi.org/10.1155/2021/1004767</v>
      </c>
    </row>
    <row r="998" spans="1:9" ht="75" x14ac:dyDescent="0.25">
      <c r="A998" s="2">
        <v>995</v>
      </c>
      <c r="B998" s="3" t="s">
        <v>2928</v>
      </c>
      <c r="C998" s="3" t="s">
        <v>1238</v>
      </c>
      <c r="D998" s="3" t="s">
        <v>2929</v>
      </c>
      <c r="E998" s="2">
        <v>2023</v>
      </c>
      <c r="F998" s="3" t="s">
        <v>261</v>
      </c>
      <c r="G998" s="2" t="s">
        <v>12</v>
      </c>
      <c r="H998" s="3" t="s">
        <v>48</v>
      </c>
      <c r="I998" s="10" t="str">
        <f>HYPERLINK("http://dx.doi.org/10.1007/s11664-023-10711-4","http://dx.doi.org/10.1007/s11664-023-10711-4")</f>
        <v>http://dx.doi.org/10.1007/s11664-023-10711-4</v>
      </c>
    </row>
    <row r="999" spans="1:9" ht="75" x14ac:dyDescent="0.25">
      <c r="A999" s="2">
        <v>996</v>
      </c>
      <c r="B999" s="3" t="s">
        <v>2930</v>
      </c>
      <c r="C999" s="3" t="s">
        <v>1778</v>
      </c>
      <c r="D999" s="3" t="s">
        <v>2931</v>
      </c>
      <c r="E999" s="2">
        <v>2021</v>
      </c>
      <c r="F999" s="3" t="s">
        <v>261</v>
      </c>
      <c r="G999" s="2" t="s">
        <v>12</v>
      </c>
      <c r="H999" s="3" t="s">
        <v>1011</v>
      </c>
      <c r="I999" s="10" t="str">
        <f>HYPERLINK("http://dx.doi.org/10.1016/j.ijleo.2020.165998","http://dx.doi.org/10.1016/j.ijleo.2020.165998")</f>
        <v>http://dx.doi.org/10.1016/j.ijleo.2020.165998</v>
      </c>
    </row>
    <row r="1000" spans="1:9" ht="90" x14ac:dyDescent="0.25">
      <c r="A1000" s="2">
        <v>997</v>
      </c>
      <c r="B1000" s="3" t="s">
        <v>2932</v>
      </c>
      <c r="C1000" s="3" t="s">
        <v>2798</v>
      </c>
      <c r="D1000" s="3" t="s">
        <v>2933</v>
      </c>
      <c r="E1000" s="2">
        <v>2019</v>
      </c>
      <c r="F1000" s="3" t="s">
        <v>261</v>
      </c>
      <c r="G1000" s="2" t="s">
        <v>12</v>
      </c>
      <c r="H1000" s="3" t="s">
        <v>1637</v>
      </c>
      <c r="I1000" s="10" t="str">
        <f>HYPERLINK("http://dx.doi.org/10.1088/1361-6463/ab1987","http://dx.doi.org/10.1088/1361-6463/ab1987")</f>
        <v>http://dx.doi.org/10.1088/1361-6463/ab1987</v>
      </c>
    </row>
    <row r="1001" spans="1:9" ht="75" x14ac:dyDescent="0.25">
      <c r="A1001" s="2">
        <v>998</v>
      </c>
      <c r="B1001" s="3" t="s">
        <v>2934</v>
      </c>
      <c r="C1001" s="3" t="s">
        <v>1853</v>
      </c>
      <c r="D1001" s="3" t="s">
        <v>2935</v>
      </c>
      <c r="E1001" s="2">
        <v>2020</v>
      </c>
      <c r="F1001" s="3" t="s">
        <v>261</v>
      </c>
      <c r="G1001" s="2" t="s">
        <v>12</v>
      </c>
      <c r="H1001" s="3" t="s">
        <v>48</v>
      </c>
      <c r="I1001" s="10" t="str">
        <f>HYPERLINK("http://dx.doi.org/10.1186/s13662-020-02709-7","http://dx.doi.org/10.1186/s13662-020-02709-7")</f>
        <v>http://dx.doi.org/10.1186/s13662-020-02709-7</v>
      </c>
    </row>
    <row r="1002" spans="1:9" ht="75" x14ac:dyDescent="0.25">
      <c r="A1002" s="2">
        <v>999</v>
      </c>
      <c r="B1002" s="3" t="s">
        <v>2936</v>
      </c>
      <c r="C1002" s="3" t="s">
        <v>2803</v>
      </c>
      <c r="D1002" s="3" t="s">
        <v>2937</v>
      </c>
      <c r="E1002" s="2">
        <v>2020</v>
      </c>
      <c r="F1002" s="3" t="s">
        <v>261</v>
      </c>
      <c r="G1002" s="2" t="s">
        <v>12</v>
      </c>
      <c r="H1002" s="3" t="s">
        <v>277</v>
      </c>
      <c r="I1002" s="10" t="str">
        <f>HYPERLINK("http://dx.doi.org/10.1016/j.chemphys.2019.110571","http://dx.doi.org/10.1016/j.chemphys.2019.110571")</f>
        <v>http://dx.doi.org/10.1016/j.chemphys.2019.110571</v>
      </c>
    </row>
    <row r="1003" spans="1:9" ht="105" x14ac:dyDescent="0.25">
      <c r="A1003" s="2">
        <v>1000</v>
      </c>
      <c r="B1003" s="3" t="s">
        <v>2938</v>
      </c>
      <c r="C1003" s="3" t="s">
        <v>2806</v>
      </c>
      <c r="D1003" s="3" t="s">
        <v>2939</v>
      </c>
      <c r="E1003" s="2">
        <v>2023</v>
      </c>
      <c r="F1003" s="3" t="s">
        <v>261</v>
      </c>
      <c r="G1003" s="2" t="s">
        <v>12</v>
      </c>
      <c r="H1003" s="3" t="s">
        <v>1202</v>
      </c>
      <c r="I1003" s="10" t="str">
        <f>HYPERLINK("http://dx.doi.org/10.1016/j.synthmet.2023.117411","http://dx.doi.org/10.1016/j.synthmet.2023.117411")</f>
        <v>http://dx.doi.org/10.1016/j.synthmet.2023.117411</v>
      </c>
    </row>
    <row r="1004" spans="1:9" ht="75" x14ac:dyDescent="0.25">
      <c r="A1004" s="2">
        <v>1001</v>
      </c>
      <c r="B1004" s="3" t="s">
        <v>2940</v>
      </c>
      <c r="C1004" s="3" t="s">
        <v>2941</v>
      </c>
      <c r="D1004" s="3" t="s">
        <v>2942</v>
      </c>
      <c r="E1004" s="2">
        <v>2022</v>
      </c>
      <c r="F1004" s="3" t="s">
        <v>2943</v>
      </c>
      <c r="G1004" s="2" t="s">
        <v>12</v>
      </c>
      <c r="H1004" s="3" t="s">
        <v>799</v>
      </c>
      <c r="I1004" s="10" t="str">
        <f>HYPERLINK("http://dx.doi.org/10.3390/sym14020207","http://dx.doi.org/10.3390/sym14020207")</f>
        <v>http://dx.doi.org/10.3390/sym14020207</v>
      </c>
    </row>
    <row r="1005" spans="1:9" ht="90" x14ac:dyDescent="0.25">
      <c r="A1005" s="2">
        <v>1002</v>
      </c>
      <c r="B1005" s="3" t="s">
        <v>2944</v>
      </c>
      <c r="C1005" s="3" t="s">
        <v>265</v>
      </c>
      <c r="D1005" s="3" t="s">
        <v>2945</v>
      </c>
      <c r="E1005" s="2">
        <v>2022</v>
      </c>
      <c r="F1005" s="3" t="s">
        <v>2946</v>
      </c>
      <c r="G1005" s="2" t="s">
        <v>12</v>
      </c>
      <c r="H1005" s="3" t="s">
        <v>277</v>
      </c>
      <c r="I1005" s="10" t="str">
        <f>HYPERLINK("http://dx.doi.org/10.1016/j.jksus.2021.101676","http://dx.doi.org/10.1016/j.jksus.2021.101676")</f>
        <v>http://dx.doi.org/10.1016/j.jksus.2021.101676</v>
      </c>
    </row>
    <row r="1006" spans="1:9" ht="75" x14ac:dyDescent="0.25">
      <c r="A1006" s="2">
        <v>1003</v>
      </c>
      <c r="B1006" s="3" t="s">
        <v>2947</v>
      </c>
      <c r="C1006" s="3" t="s">
        <v>2948</v>
      </c>
      <c r="D1006" s="3" t="s">
        <v>2949</v>
      </c>
      <c r="E1006" s="2">
        <v>2021</v>
      </c>
      <c r="F1006" s="3" t="s">
        <v>261</v>
      </c>
      <c r="G1006" s="2" t="s">
        <v>12</v>
      </c>
      <c r="H1006" s="3" t="s">
        <v>277</v>
      </c>
      <c r="I1006" s="10" t="str">
        <f>HYPERLINK("http://dx.doi.org/10.1016/j.rinp.2021.104739","http://dx.doi.org/10.1016/j.rinp.2021.104739")</f>
        <v>http://dx.doi.org/10.1016/j.rinp.2021.104739</v>
      </c>
    </row>
    <row r="1007" spans="1:9" ht="90" x14ac:dyDescent="0.25">
      <c r="A1007" s="2">
        <v>1004</v>
      </c>
      <c r="B1007" s="3" t="s">
        <v>2950</v>
      </c>
      <c r="C1007" s="3" t="s">
        <v>2690</v>
      </c>
      <c r="D1007" s="3" t="s">
        <v>2951</v>
      </c>
      <c r="E1007" s="2">
        <v>2021</v>
      </c>
      <c r="F1007" s="3" t="s">
        <v>281</v>
      </c>
      <c r="G1007" s="2" t="s">
        <v>12</v>
      </c>
      <c r="H1007" s="3" t="s">
        <v>799</v>
      </c>
      <c r="I1007" s="10" t="str">
        <f>HYPERLINK("http://dx.doi.org/10.3390/catal11111294","http://dx.doi.org/10.3390/catal11111294")</f>
        <v>http://dx.doi.org/10.3390/catal11111294</v>
      </c>
    </row>
    <row r="1008" spans="1:9" ht="75" x14ac:dyDescent="0.25">
      <c r="A1008" s="2">
        <v>1005</v>
      </c>
      <c r="B1008" s="3" t="s">
        <v>2952</v>
      </c>
      <c r="C1008" s="3" t="s">
        <v>2953</v>
      </c>
      <c r="D1008" s="3" t="s">
        <v>2954</v>
      </c>
      <c r="E1008" s="2">
        <v>2023</v>
      </c>
      <c r="F1008" s="3" t="s">
        <v>2955</v>
      </c>
      <c r="G1008" s="2" t="s">
        <v>12</v>
      </c>
      <c r="H1008" s="3" t="s">
        <v>58</v>
      </c>
      <c r="I1008" s="10" t="str">
        <f>HYPERLINK("http://dx.doi.org/10.1039/d3nr02816j","http://dx.doi.org/10.1039/d3nr02816j")</f>
        <v>http://dx.doi.org/10.1039/d3nr02816j</v>
      </c>
    </row>
    <row r="1009" spans="1:9" ht="90" x14ac:dyDescent="0.25">
      <c r="A1009" s="2">
        <v>1006</v>
      </c>
      <c r="B1009" s="3" t="s">
        <v>2956</v>
      </c>
      <c r="C1009" s="3" t="s">
        <v>192</v>
      </c>
      <c r="D1009" s="3" t="s">
        <v>2957</v>
      </c>
      <c r="E1009" s="2">
        <v>2023</v>
      </c>
      <c r="F1009" s="3" t="s">
        <v>2958</v>
      </c>
      <c r="G1009" s="2" t="s">
        <v>12</v>
      </c>
      <c r="H1009" s="3" t="s">
        <v>205</v>
      </c>
      <c r="I1009" s="10" t="str">
        <f>HYPERLINK("http://dx.doi.org/10.1080/00397911.2023.2205594","http://dx.doi.org/10.1080/00397911.2023.2205594")</f>
        <v>http://dx.doi.org/10.1080/00397911.2023.2205594</v>
      </c>
    </row>
    <row r="1010" spans="1:9" ht="75" x14ac:dyDescent="0.25">
      <c r="A1010" s="2">
        <v>1007</v>
      </c>
      <c r="B1010" s="3" t="s">
        <v>2959</v>
      </c>
      <c r="C1010" s="3" t="s">
        <v>1165</v>
      </c>
      <c r="D1010" s="3" t="s">
        <v>2960</v>
      </c>
      <c r="E1010" s="2">
        <v>2023</v>
      </c>
      <c r="F1010" s="3" t="s">
        <v>2961</v>
      </c>
      <c r="G1010" s="2" t="s">
        <v>12</v>
      </c>
      <c r="H1010" s="3" t="s">
        <v>277</v>
      </c>
      <c r="I1010" s="10" t="str">
        <f>HYPERLINK("http://dx.doi.org/10.1016/j.physb.2023.415314","http://dx.doi.org/10.1016/j.physb.2023.415314")</f>
        <v>http://dx.doi.org/10.1016/j.physb.2023.415314</v>
      </c>
    </row>
    <row r="1011" spans="1:9" ht="105" x14ac:dyDescent="0.25">
      <c r="A1011" s="2">
        <v>1008</v>
      </c>
      <c r="B1011" s="3" t="s">
        <v>2962</v>
      </c>
      <c r="C1011" s="3" t="s">
        <v>211</v>
      </c>
      <c r="D1011" s="3" t="s">
        <v>2963</v>
      </c>
      <c r="E1011" s="2">
        <v>2021</v>
      </c>
      <c r="F1011" s="3" t="s">
        <v>2964</v>
      </c>
      <c r="G1011" s="2" t="s">
        <v>12</v>
      </c>
      <c r="H1011" s="3" t="s">
        <v>48</v>
      </c>
      <c r="I1011" s="10" t="str">
        <f>HYPERLINK("http://dx.doi.org/10.1007/s10854-021-06197-7","http://dx.doi.org/10.1007/s10854-021-06197-7")</f>
        <v>http://dx.doi.org/10.1007/s10854-021-06197-7</v>
      </c>
    </row>
    <row r="1012" spans="1:9" ht="90" x14ac:dyDescent="0.25">
      <c r="A1012" s="2">
        <v>1009</v>
      </c>
      <c r="B1012" s="3" t="s">
        <v>2965</v>
      </c>
      <c r="C1012" s="3" t="s">
        <v>817</v>
      </c>
      <c r="D1012" s="3" t="s">
        <v>2966</v>
      </c>
      <c r="E1012" s="2">
        <v>2024</v>
      </c>
      <c r="F1012" s="3" t="s">
        <v>2967</v>
      </c>
      <c r="G1012" s="2" t="s">
        <v>12</v>
      </c>
      <c r="H1012" s="3" t="s">
        <v>277</v>
      </c>
      <c r="I1012" s="10" t="str">
        <f>HYPERLINK("http://dx.doi.org/10.1016/j.molstruc.2023.137069","http://dx.doi.org/10.1016/j.molstruc.2023.137069")</f>
        <v>http://dx.doi.org/10.1016/j.molstruc.2023.137069</v>
      </c>
    </row>
    <row r="1013" spans="1:9" ht="90" x14ac:dyDescent="0.25">
      <c r="A1013" s="2">
        <v>1010</v>
      </c>
      <c r="B1013" s="3" t="s">
        <v>2968</v>
      </c>
      <c r="C1013" s="3" t="s">
        <v>2366</v>
      </c>
      <c r="D1013" s="3" t="s">
        <v>2969</v>
      </c>
      <c r="E1013" s="2">
        <v>2023</v>
      </c>
      <c r="F1013" s="3" t="s">
        <v>2970</v>
      </c>
      <c r="G1013" s="2" t="s">
        <v>12</v>
      </c>
      <c r="H1013" s="3" t="s">
        <v>48</v>
      </c>
      <c r="I1013" s="10" t="str">
        <f>HYPERLINK("http://dx.doi.org/10.1007/s10008-023-05648-x","http://dx.doi.org/10.1007/s10008-023-05648-x")</f>
        <v>http://dx.doi.org/10.1007/s10008-023-05648-x</v>
      </c>
    </row>
    <row r="1014" spans="1:9" ht="75" x14ac:dyDescent="0.25">
      <c r="A1014" s="2">
        <v>1011</v>
      </c>
      <c r="B1014" s="3" t="s">
        <v>2971</v>
      </c>
      <c r="C1014" s="3" t="s">
        <v>2972</v>
      </c>
      <c r="D1014" s="3" t="s">
        <v>2973</v>
      </c>
      <c r="E1014" s="2">
        <v>2023</v>
      </c>
      <c r="F1014" s="3" t="s">
        <v>2974</v>
      </c>
      <c r="G1014" s="2" t="s">
        <v>12</v>
      </c>
      <c r="H1014" s="3" t="s">
        <v>181</v>
      </c>
      <c r="I1014" s="10" t="str">
        <f>HYPERLINK("http://dx.doi.org/10.1016/j.sse.2023.108638","http://dx.doi.org/10.1016/j.sse.2023.108638")</f>
        <v>http://dx.doi.org/10.1016/j.sse.2023.108638</v>
      </c>
    </row>
    <row r="1015" spans="1:9" ht="90" x14ac:dyDescent="0.25">
      <c r="A1015" s="2">
        <v>1012</v>
      </c>
      <c r="B1015" s="3" t="s">
        <v>2975</v>
      </c>
      <c r="C1015" s="3" t="s">
        <v>192</v>
      </c>
      <c r="D1015" s="3" t="s">
        <v>2976</v>
      </c>
      <c r="E1015" s="2">
        <v>2022</v>
      </c>
      <c r="F1015" s="3" t="s">
        <v>2958</v>
      </c>
      <c r="G1015" s="2" t="s">
        <v>12</v>
      </c>
      <c r="H1015" s="3" t="s">
        <v>205</v>
      </c>
      <c r="I1015" s="10" t="str">
        <f>HYPERLINK("http://dx.doi.org/10.1080/00397911.2022.2048860","http://dx.doi.org/10.1080/00397911.2022.2048860")</f>
        <v>http://dx.doi.org/10.1080/00397911.2022.2048860</v>
      </c>
    </row>
    <row r="1016" spans="1:9" ht="90" x14ac:dyDescent="0.25">
      <c r="A1016" s="2">
        <v>1013</v>
      </c>
      <c r="B1016" s="3" t="s">
        <v>2977</v>
      </c>
      <c r="C1016" s="3" t="s">
        <v>2074</v>
      </c>
      <c r="D1016" s="3" t="s">
        <v>2978</v>
      </c>
      <c r="E1016" s="2">
        <v>2018</v>
      </c>
      <c r="F1016" s="3" t="s">
        <v>2979</v>
      </c>
      <c r="G1016" s="2" t="s">
        <v>12</v>
      </c>
      <c r="H1016" s="3" t="s">
        <v>91</v>
      </c>
      <c r="I1016" s="10" t="str">
        <f>HYPERLINK("http://dx.doi.org/10.1080/10420150.2018.1505890","http://dx.doi.org/10.1080/10420150.2018.1505890")</f>
        <v>http://dx.doi.org/10.1080/10420150.2018.1505890</v>
      </c>
    </row>
    <row r="1017" spans="1:9" ht="105" x14ac:dyDescent="0.25">
      <c r="A1017" s="2">
        <v>1014</v>
      </c>
      <c r="B1017" s="3" t="s">
        <v>2980</v>
      </c>
      <c r="C1017" s="3" t="s">
        <v>2981</v>
      </c>
      <c r="D1017" s="3" t="s">
        <v>2982</v>
      </c>
      <c r="E1017" s="2">
        <v>2021</v>
      </c>
      <c r="F1017" s="3" t="s">
        <v>261</v>
      </c>
      <c r="G1017" s="2" t="s">
        <v>12</v>
      </c>
      <c r="H1017" s="3" t="s">
        <v>799</v>
      </c>
      <c r="I1017" s="10" t="str">
        <f>HYPERLINK("http://dx.doi.org/10.3390/cryst11020110","http://dx.doi.org/10.3390/cryst11020110")</f>
        <v>http://dx.doi.org/10.3390/cryst11020110</v>
      </c>
    </row>
    <row r="1018" spans="1:9" ht="45" x14ac:dyDescent="0.25">
      <c r="A1018" s="2">
        <v>1015</v>
      </c>
      <c r="B1018" s="3" t="s">
        <v>2983</v>
      </c>
      <c r="C1018" s="3" t="s">
        <v>1969</v>
      </c>
      <c r="D1018" s="3" t="s">
        <v>2984</v>
      </c>
      <c r="E1018" s="2">
        <v>2018</v>
      </c>
      <c r="F1018" s="3" t="s">
        <v>2985</v>
      </c>
      <c r="G1018" s="2" t="s">
        <v>12</v>
      </c>
      <c r="H1018" s="3" t="s">
        <v>1202</v>
      </c>
      <c r="I1018" s="10" t="str">
        <f>HYPERLINK("http://dx.doi.org/10.1016/j.jallcom.2018.06.240","http://dx.doi.org/10.1016/j.jallcom.2018.06.240")</f>
        <v>http://dx.doi.org/10.1016/j.jallcom.2018.06.240</v>
      </c>
    </row>
    <row r="1019" spans="1:9" ht="90" x14ac:dyDescent="0.25">
      <c r="A1019" s="2">
        <v>1016</v>
      </c>
      <c r="B1019" s="3" t="s">
        <v>2986</v>
      </c>
      <c r="C1019" s="3" t="s">
        <v>2987</v>
      </c>
      <c r="D1019" s="3" t="s">
        <v>2988</v>
      </c>
      <c r="E1019" s="2">
        <v>2022</v>
      </c>
      <c r="F1019" s="3" t="s">
        <v>2989</v>
      </c>
      <c r="G1019" s="2" t="s">
        <v>12</v>
      </c>
      <c r="H1019" s="3" t="s">
        <v>277</v>
      </c>
      <c r="I1019" s="10" t="str">
        <f>HYPERLINK("http://dx.doi.org/10.1016/j.mimet.2022.106563","http://dx.doi.org/10.1016/j.mimet.2022.106563")</f>
        <v>http://dx.doi.org/10.1016/j.mimet.2022.106563</v>
      </c>
    </row>
    <row r="1020" spans="1:9" ht="75" x14ac:dyDescent="0.25">
      <c r="A1020" s="2">
        <v>1017</v>
      </c>
      <c r="B1020" s="3" t="s">
        <v>2990</v>
      </c>
      <c r="C1020" s="3" t="s">
        <v>2991</v>
      </c>
      <c r="D1020" s="3" t="s">
        <v>2992</v>
      </c>
      <c r="E1020" s="2">
        <v>2023</v>
      </c>
      <c r="F1020" s="3" t="s">
        <v>261</v>
      </c>
      <c r="G1020" s="2" t="s">
        <v>12</v>
      </c>
      <c r="H1020" s="3" t="s">
        <v>2993</v>
      </c>
      <c r="I1020" s="10" t="str">
        <f>HYPERLINK("http://dx.doi.org/10.33263/BRIAC132.1142.114","http://dx.doi.org/10.33263/BRIAC132.1142.114")</f>
        <v>http://dx.doi.org/10.33263/BRIAC132.1142.114</v>
      </c>
    </row>
    <row r="1021" spans="1:9" ht="105" x14ac:dyDescent="0.25">
      <c r="A1021" s="2">
        <v>1018</v>
      </c>
      <c r="B1021" s="3" t="s">
        <v>2994</v>
      </c>
      <c r="C1021" s="3" t="s">
        <v>2995</v>
      </c>
      <c r="D1021" s="3" t="s">
        <v>2996</v>
      </c>
      <c r="E1021" s="2">
        <v>2018</v>
      </c>
      <c r="F1021" s="3" t="s">
        <v>261</v>
      </c>
      <c r="G1021" s="2" t="s">
        <v>12</v>
      </c>
      <c r="H1021" s="3" t="s">
        <v>2997</v>
      </c>
      <c r="I1021" s="10" t="s">
        <v>2998</v>
      </c>
    </row>
    <row r="1022" spans="1:9" ht="60" x14ac:dyDescent="0.25">
      <c r="A1022" s="2">
        <v>1019</v>
      </c>
      <c r="B1022" s="3" t="s">
        <v>2999</v>
      </c>
      <c r="C1022" s="3" t="s">
        <v>3000</v>
      </c>
      <c r="D1022" s="3" t="s">
        <v>3001</v>
      </c>
      <c r="E1022" s="2">
        <v>2020</v>
      </c>
      <c r="F1022" s="3" t="s">
        <v>3002</v>
      </c>
      <c r="G1022" s="2" t="s">
        <v>12</v>
      </c>
      <c r="H1022" s="3" t="s">
        <v>48</v>
      </c>
      <c r="I1022" s="10" t="str">
        <f>HYPERLINK("http://dx.doi.org/10.1007/s00411-019-00824-y","http://dx.doi.org/10.1007/s00411-019-00824-y")</f>
        <v>http://dx.doi.org/10.1007/s00411-019-00824-y</v>
      </c>
    </row>
    <row r="1023" spans="1:9" ht="75" x14ac:dyDescent="0.25">
      <c r="A1023" s="2">
        <v>1020</v>
      </c>
      <c r="B1023" s="3" t="s">
        <v>3003</v>
      </c>
      <c r="C1023" s="3" t="s">
        <v>3004</v>
      </c>
      <c r="D1023" s="3" t="s">
        <v>3005</v>
      </c>
      <c r="E1023" s="2">
        <v>2022</v>
      </c>
      <c r="F1023" s="3" t="s">
        <v>3006</v>
      </c>
      <c r="G1023" s="2" t="s">
        <v>12</v>
      </c>
      <c r="H1023" s="3" t="s">
        <v>583</v>
      </c>
      <c r="I1023" s="10" t="str">
        <f>HYPERLINK("http://dx.doi.org/10.1155/2022/9290539","http://dx.doi.org/10.1155/2022/9290539")</f>
        <v>http://dx.doi.org/10.1155/2022/9290539</v>
      </c>
    </row>
    <row r="1024" spans="1:9" ht="165" x14ac:dyDescent="0.25">
      <c r="A1024" s="2">
        <v>1021</v>
      </c>
      <c r="B1024" s="3" t="s">
        <v>3007</v>
      </c>
      <c r="C1024" s="3" t="s">
        <v>25</v>
      </c>
      <c r="D1024" s="3" t="s">
        <v>3008</v>
      </c>
      <c r="E1024" s="2">
        <v>2022</v>
      </c>
      <c r="F1024" s="3" t="s">
        <v>261</v>
      </c>
      <c r="G1024" s="2" t="s">
        <v>12</v>
      </c>
      <c r="H1024" s="3" t="s">
        <v>28</v>
      </c>
      <c r="I1024" s="10" t="str">
        <f>HYPERLINK("http://dx.doi.org/10.1021/acsomega.1c06179","http://dx.doi.org/10.1021/acsomega.1c06179")</f>
        <v>http://dx.doi.org/10.1021/acsomega.1c06179</v>
      </c>
    </row>
    <row r="1025" spans="1:9" ht="90" x14ac:dyDescent="0.25">
      <c r="A1025" s="2">
        <v>1022</v>
      </c>
      <c r="B1025" s="3" t="s">
        <v>3009</v>
      </c>
      <c r="C1025" s="3" t="s">
        <v>40</v>
      </c>
      <c r="D1025" s="3" t="s">
        <v>3010</v>
      </c>
      <c r="E1025" s="2">
        <v>2022</v>
      </c>
      <c r="F1025" s="3" t="s">
        <v>42</v>
      </c>
      <c r="G1025" s="2" t="s">
        <v>12</v>
      </c>
      <c r="H1025" s="3" t="s">
        <v>43</v>
      </c>
      <c r="I1025" s="10" t="str">
        <f>HYPERLINK("http://dx.doi.org/10.3934/math.2022876","http://dx.doi.org/10.3934/math.2022876")</f>
        <v>http://dx.doi.org/10.3934/math.2022876</v>
      </c>
    </row>
    <row r="1026" spans="1:9" ht="60" x14ac:dyDescent="0.25">
      <c r="A1026" s="2">
        <v>1023</v>
      </c>
      <c r="B1026" s="3" t="s">
        <v>3011</v>
      </c>
      <c r="C1026" s="3" t="s">
        <v>2948</v>
      </c>
      <c r="D1026" s="3" t="s">
        <v>3012</v>
      </c>
      <c r="E1026" s="2">
        <v>2021</v>
      </c>
      <c r="F1026" s="3" t="s">
        <v>261</v>
      </c>
      <c r="G1026" s="2" t="s">
        <v>12</v>
      </c>
      <c r="H1026" s="3" t="s">
        <v>277</v>
      </c>
      <c r="I1026" s="10" t="str">
        <f>HYPERLINK("http://dx.doi.org/10.1016/j.rinp.2021.104045","http://dx.doi.org/10.1016/j.rinp.2021.104045")</f>
        <v>http://dx.doi.org/10.1016/j.rinp.2021.104045</v>
      </c>
    </row>
    <row r="1027" spans="1:9" ht="75" x14ac:dyDescent="0.25">
      <c r="A1027" s="2">
        <v>1024</v>
      </c>
      <c r="B1027" s="3" t="s">
        <v>3013</v>
      </c>
      <c r="C1027" s="3" t="s">
        <v>211</v>
      </c>
      <c r="D1027" s="3" t="s">
        <v>3014</v>
      </c>
      <c r="E1027" s="2">
        <v>2021</v>
      </c>
      <c r="F1027" s="3" t="s">
        <v>2964</v>
      </c>
      <c r="G1027" s="2" t="s">
        <v>12</v>
      </c>
      <c r="H1027" s="3" t="s">
        <v>48</v>
      </c>
      <c r="I1027" s="10" t="str">
        <f>HYPERLINK("http://dx.doi.org/10.1007/s10854-021-05816-7","http://dx.doi.org/10.1007/s10854-021-05816-7")</f>
        <v>http://dx.doi.org/10.1007/s10854-021-05816-7</v>
      </c>
    </row>
    <row r="1028" spans="1:9" ht="60" x14ac:dyDescent="0.25">
      <c r="A1028" s="2">
        <v>1025</v>
      </c>
      <c r="B1028" s="3" t="s">
        <v>3015</v>
      </c>
      <c r="C1028" s="3" t="s">
        <v>817</v>
      </c>
      <c r="D1028" s="3" t="s">
        <v>3016</v>
      </c>
      <c r="E1028" s="2">
        <v>2023</v>
      </c>
      <c r="F1028" s="3" t="s">
        <v>2967</v>
      </c>
      <c r="G1028" s="2" t="s">
        <v>12</v>
      </c>
      <c r="H1028" s="3" t="s">
        <v>277</v>
      </c>
      <c r="I1028" s="10" t="str">
        <f>HYPERLINK("http://dx.doi.org/10.1016/j.molstruc.2023.136130","http://dx.doi.org/10.1016/j.molstruc.2023.136130")</f>
        <v>http://dx.doi.org/10.1016/j.molstruc.2023.136130</v>
      </c>
    </row>
    <row r="1029" spans="1:9" ht="90" x14ac:dyDescent="0.25">
      <c r="A1029" s="2">
        <v>1026</v>
      </c>
      <c r="B1029" s="3" t="s">
        <v>3017</v>
      </c>
      <c r="C1029" s="3" t="s">
        <v>3018</v>
      </c>
      <c r="D1029" s="3" t="s">
        <v>3019</v>
      </c>
      <c r="E1029" s="2">
        <v>2022</v>
      </c>
      <c r="F1029" s="3" t="s">
        <v>3020</v>
      </c>
      <c r="G1029" s="2" t="s">
        <v>12</v>
      </c>
      <c r="H1029" s="3" t="s">
        <v>799</v>
      </c>
      <c r="I1029" s="10" t="str">
        <f>HYPERLINK("http://dx.doi.org/10.3390/agriculture12122003","http://dx.doi.org/10.3390/agriculture12122003")</f>
        <v>http://dx.doi.org/10.3390/agriculture12122003</v>
      </c>
    </row>
    <row r="1030" spans="1:9" ht="60" x14ac:dyDescent="0.25">
      <c r="A1030" s="2">
        <v>1027</v>
      </c>
      <c r="B1030" s="3" t="s">
        <v>3021</v>
      </c>
      <c r="C1030" s="3" t="s">
        <v>40</v>
      </c>
      <c r="D1030" s="3" t="s">
        <v>3022</v>
      </c>
      <c r="E1030" s="2">
        <v>2022</v>
      </c>
      <c r="F1030" s="3" t="s">
        <v>42</v>
      </c>
      <c r="G1030" s="2" t="s">
        <v>12</v>
      </c>
      <c r="H1030" s="3" t="s">
        <v>43</v>
      </c>
      <c r="I1030" s="10" t="str">
        <f>HYPERLINK("http://dx.doi.org/10.3934/math.20221071","http://dx.doi.org/10.3934/math.20221071")</f>
        <v>http://dx.doi.org/10.3934/math.20221071</v>
      </c>
    </row>
    <row r="1031" spans="1:9" ht="90" x14ac:dyDescent="0.25">
      <c r="A1031" s="2">
        <v>1028</v>
      </c>
      <c r="B1031" s="3" t="s">
        <v>3023</v>
      </c>
      <c r="C1031" s="3" t="s">
        <v>3024</v>
      </c>
      <c r="D1031" s="3" t="s">
        <v>3025</v>
      </c>
      <c r="E1031" s="2">
        <v>2022</v>
      </c>
      <c r="F1031" s="3" t="s">
        <v>261</v>
      </c>
      <c r="G1031" s="2" t="s">
        <v>12</v>
      </c>
      <c r="H1031" s="3" t="s">
        <v>58</v>
      </c>
      <c r="I1031" s="10" t="str">
        <f>HYPERLINK("http://dx.doi.org/10.1039/d2se00953f","http://dx.doi.org/10.1039/d2se00953f")</f>
        <v>http://dx.doi.org/10.1039/d2se00953f</v>
      </c>
    </row>
    <row r="1032" spans="1:9" ht="75" x14ac:dyDescent="0.25">
      <c r="A1032" s="2">
        <v>1029</v>
      </c>
      <c r="B1032" s="3" t="s">
        <v>3026</v>
      </c>
      <c r="C1032" s="3" t="s">
        <v>2948</v>
      </c>
      <c r="D1032" s="3" t="s">
        <v>3027</v>
      </c>
      <c r="E1032" s="2">
        <v>2020</v>
      </c>
      <c r="F1032" s="3" t="s">
        <v>261</v>
      </c>
      <c r="G1032" s="2" t="s">
        <v>12</v>
      </c>
      <c r="H1032" s="3" t="s">
        <v>277</v>
      </c>
      <c r="I1032" s="10" t="str">
        <f>HYPERLINK("http://dx.doi.org/10.1016/j.rinp.2020.103610","http://dx.doi.org/10.1016/j.rinp.2020.103610")</f>
        <v>http://dx.doi.org/10.1016/j.rinp.2020.103610</v>
      </c>
    </row>
    <row r="1033" spans="1:9" ht="105" x14ac:dyDescent="0.25">
      <c r="A1033" s="2">
        <v>1030</v>
      </c>
      <c r="B1033" s="3" t="s">
        <v>3028</v>
      </c>
      <c r="C1033" s="3" t="s">
        <v>20</v>
      </c>
      <c r="D1033" s="3" t="s">
        <v>3029</v>
      </c>
      <c r="E1033" s="2">
        <v>2023</v>
      </c>
      <c r="F1033" s="3" t="s">
        <v>261</v>
      </c>
      <c r="G1033" s="2" t="s">
        <v>12</v>
      </c>
      <c r="H1033" s="3" t="s">
        <v>23</v>
      </c>
      <c r="I1033" s="10" t="str">
        <f>HYPERLINK("http://dx.doi.org/10.1002/slct.202302500","http://dx.doi.org/10.1002/slct.202302500")</f>
        <v>http://dx.doi.org/10.1002/slct.202302500</v>
      </c>
    </row>
    <row r="1034" spans="1:9" ht="90" x14ac:dyDescent="0.25">
      <c r="A1034" s="2">
        <v>1031</v>
      </c>
      <c r="B1034" s="3" t="s">
        <v>3030</v>
      </c>
      <c r="C1034" s="3" t="s">
        <v>1808</v>
      </c>
      <c r="D1034" s="3" t="s">
        <v>3031</v>
      </c>
      <c r="E1034" s="2">
        <v>2023</v>
      </c>
      <c r="F1034" s="3" t="s">
        <v>194</v>
      </c>
      <c r="G1034" s="2" t="s">
        <v>12</v>
      </c>
      <c r="H1034" s="3" t="s">
        <v>799</v>
      </c>
      <c r="I1034" s="10" t="str">
        <f>HYPERLINK("http://dx.doi.org/10.3390/molecules28207129","http://dx.doi.org/10.3390/molecules28207129")</f>
        <v>http://dx.doi.org/10.3390/molecules28207129</v>
      </c>
    </row>
    <row r="1035" spans="1:9" ht="45" x14ac:dyDescent="0.25">
      <c r="A1035" s="2">
        <v>1032</v>
      </c>
      <c r="B1035" s="3" t="s">
        <v>3032</v>
      </c>
      <c r="C1035" s="3" t="s">
        <v>3004</v>
      </c>
      <c r="D1035" s="3" t="s">
        <v>3033</v>
      </c>
      <c r="E1035" s="2">
        <v>2022</v>
      </c>
      <c r="F1035" s="3" t="s">
        <v>3006</v>
      </c>
      <c r="G1035" s="2" t="s">
        <v>12</v>
      </c>
      <c r="H1035" s="3" t="s">
        <v>583</v>
      </c>
      <c r="I1035" s="10" t="str">
        <f>HYPERLINK("http://dx.doi.org/10.1155/2022/7291001","http://dx.doi.org/10.1155/2022/7291001")</f>
        <v>http://dx.doi.org/10.1155/2022/7291001</v>
      </c>
    </row>
    <row r="1036" spans="1:9" ht="90" x14ac:dyDescent="0.25">
      <c r="A1036" s="2">
        <v>1033</v>
      </c>
      <c r="B1036" s="3" t="s">
        <v>3034</v>
      </c>
      <c r="C1036" s="3" t="s">
        <v>3035</v>
      </c>
      <c r="D1036" s="3" t="s">
        <v>3036</v>
      </c>
      <c r="E1036" s="2">
        <v>2023</v>
      </c>
      <c r="F1036" s="3" t="s">
        <v>261</v>
      </c>
      <c r="G1036" s="2" t="s">
        <v>12</v>
      </c>
      <c r="H1036" s="3" t="s">
        <v>2304</v>
      </c>
      <c r="I1036" s="10" t="str">
        <f>HYPERLINK("http://dx.doi.org/10.1038/s41598-023-33453-z","http://dx.doi.org/10.1038/s41598-023-33453-z")</f>
        <v>http://dx.doi.org/10.1038/s41598-023-33453-z</v>
      </c>
    </row>
    <row r="1037" spans="1:9" ht="90" x14ac:dyDescent="0.25">
      <c r="A1037" s="2">
        <v>1034</v>
      </c>
      <c r="B1037" s="3" t="s">
        <v>3037</v>
      </c>
      <c r="C1037" s="3" t="s">
        <v>1778</v>
      </c>
      <c r="D1037" s="3" t="s">
        <v>3038</v>
      </c>
      <c r="E1037" s="2">
        <v>2020</v>
      </c>
      <c r="F1037" s="3" t="s">
        <v>3039</v>
      </c>
      <c r="G1037" s="2" t="s">
        <v>12</v>
      </c>
      <c r="H1037" s="3" t="s">
        <v>1011</v>
      </c>
      <c r="I1037" s="10" t="str">
        <f>HYPERLINK("http://dx.doi.org/10.1016/j.ijleo.2019.163903","http://dx.doi.org/10.1016/j.ijleo.2019.163903")</f>
        <v>http://dx.doi.org/10.1016/j.ijleo.2019.163903</v>
      </c>
    </row>
    <row r="1038" spans="1:9" ht="90" x14ac:dyDescent="0.25">
      <c r="A1038" s="2">
        <v>1035</v>
      </c>
      <c r="B1038" s="3" t="s">
        <v>3040</v>
      </c>
      <c r="C1038" s="3" t="s">
        <v>81</v>
      </c>
      <c r="D1038" s="3" t="s">
        <v>3041</v>
      </c>
      <c r="E1038" s="2">
        <v>2023</v>
      </c>
      <c r="F1038" s="3" t="s">
        <v>3042</v>
      </c>
      <c r="G1038" s="2" t="s">
        <v>12</v>
      </c>
      <c r="H1038" s="3" t="s">
        <v>91</v>
      </c>
      <c r="I1038" s="10" t="str">
        <f>HYPERLINK("http://dx.doi.org/10.1080/10406638.2022.2056210","http://dx.doi.org/10.1080/10406638.2022.2056210")</f>
        <v>http://dx.doi.org/10.1080/10406638.2022.2056210</v>
      </c>
    </row>
    <row r="1039" spans="1:9" ht="105" x14ac:dyDescent="0.25">
      <c r="A1039" s="2">
        <v>1036</v>
      </c>
      <c r="B1039" s="3" t="s">
        <v>3043</v>
      </c>
      <c r="C1039" s="3" t="s">
        <v>3044</v>
      </c>
      <c r="D1039" s="3" t="s">
        <v>3045</v>
      </c>
      <c r="E1039" s="2">
        <v>2020</v>
      </c>
      <c r="F1039" s="3" t="s">
        <v>261</v>
      </c>
      <c r="G1039" s="2" t="s">
        <v>12</v>
      </c>
      <c r="H1039" s="3" t="s">
        <v>277</v>
      </c>
      <c r="I1039" s="10" t="str">
        <f>HYPERLINK("http://dx.doi.org/10.1016/j.cjph.2019.10.015","http://dx.doi.org/10.1016/j.cjph.2019.10.015")</f>
        <v>http://dx.doi.org/10.1016/j.cjph.2019.10.015</v>
      </c>
    </row>
    <row r="1040" spans="1:9" ht="60" x14ac:dyDescent="0.25">
      <c r="A1040" s="2">
        <v>1037</v>
      </c>
      <c r="B1040" s="3" t="s">
        <v>3032</v>
      </c>
      <c r="C1040" s="3" t="s">
        <v>3004</v>
      </c>
      <c r="D1040" s="3" t="s">
        <v>3046</v>
      </c>
      <c r="E1040" s="2">
        <v>2022</v>
      </c>
      <c r="F1040" s="3" t="s">
        <v>3006</v>
      </c>
      <c r="G1040" s="2" t="s">
        <v>12</v>
      </c>
      <c r="H1040" s="3" t="s">
        <v>583</v>
      </c>
      <c r="I1040" s="10" t="str">
        <f>HYPERLINK("http://dx.doi.org/10.1155/2022/9761017","http://dx.doi.org/10.1155/2022/9761017")</f>
        <v>http://dx.doi.org/10.1155/2022/9761017</v>
      </c>
    </row>
    <row r="1041" spans="1:9" ht="90" x14ac:dyDescent="0.25">
      <c r="A1041" s="2">
        <v>1038</v>
      </c>
      <c r="B1041" s="3" t="s">
        <v>3047</v>
      </c>
      <c r="C1041" s="3" t="s">
        <v>3048</v>
      </c>
      <c r="D1041" s="3" t="s">
        <v>3049</v>
      </c>
      <c r="E1041" s="2">
        <v>2022</v>
      </c>
      <c r="F1041" s="3" t="s">
        <v>3050</v>
      </c>
      <c r="G1041" s="2" t="s">
        <v>12</v>
      </c>
      <c r="H1041" s="3" t="s">
        <v>1967</v>
      </c>
      <c r="I1041" s="10" t="str">
        <f>HYPERLINK("http://dx.doi.org/10.32604/cmc.2022.024492","http://dx.doi.org/10.32604/cmc.2022.024492")</f>
        <v>http://dx.doi.org/10.32604/cmc.2022.024492</v>
      </c>
    </row>
    <row r="1042" spans="1:9" ht="75" x14ac:dyDescent="0.25">
      <c r="A1042" s="2">
        <v>1039</v>
      </c>
      <c r="B1042" s="3" t="s">
        <v>3051</v>
      </c>
      <c r="C1042" s="3" t="s">
        <v>3052</v>
      </c>
      <c r="D1042" s="3" t="s">
        <v>3053</v>
      </c>
      <c r="E1042" s="2">
        <v>2020</v>
      </c>
      <c r="F1042" s="3" t="s">
        <v>3054</v>
      </c>
      <c r="G1042" s="2" t="s">
        <v>12</v>
      </c>
      <c r="H1042" s="3" t="s">
        <v>3055</v>
      </c>
      <c r="I1042" s="10" t="str">
        <f>HYPERLINK("http://dx.doi.org/10.2298/NTRP2002138M","http://dx.doi.org/10.2298/NTRP2002138M")</f>
        <v>http://dx.doi.org/10.2298/NTRP2002138M</v>
      </c>
    </row>
    <row r="1043" spans="1:9" ht="90" x14ac:dyDescent="0.25">
      <c r="A1043" s="2">
        <v>1040</v>
      </c>
      <c r="B1043" s="3" t="s">
        <v>3056</v>
      </c>
      <c r="C1043" s="3" t="s">
        <v>1149</v>
      </c>
      <c r="D1043" s="3" t="s">
        <v>3057</v>
      </c>
      <c r="E1043" s="2">
        <v>2019</v>
      </c>
      <c r="F1043" s="3" t="s">
        <v>3058</v>
      </c>
      <c r="G1043" s="2" t="s">
        <v>12</v>
      </c>
      <c r="H1043" s="3" t="s">
        <v>686</v>
      </c>
      <c r="I1043" s="10" t="str">
        <f>HYPERLINK("http://dx.doi.org/10.1016/j.jnoncrysol.2018.12.010","http://dx.doi.org/10.1016/j.jnoncrysol.2018.12.010")</f>
        <v>http://dx.doi.org/10.1016/j.jnoncrysol.2018.12.010</v>
      </c>
    </row>
    <row r="1044" spans="1:9" ht="90" x14ac:dyDescent="0.25">
      <c r="A1044" s="2">
        <v>1041</v>
      </c>
      <c r="B1044" s="3" t="s">
        <v>3059</v>
      </c>
      <c r="C1044" s="3" t="s">
        <v>2941</v>
      </c>
      <c r="D1044" s="3" t="s">
        <v>3060</v>
      </c>
      <c r="E1044" s="2">
        <v>2021</v>
      </c>
      <c r="F1044" s="3" t="s">
        <v>2943</v>
      </c>
      <c r="G1044" s="2" t="s">
        <v>12</v>
      </c>
      <c r="H1044" s="3" t="s">
        <v>799</v>
      </c>
      <c r="I1044" s="10" t="str">
        <f>HYPERLINK("http://dx.doi.org/10.3390/sym13030491","http://dx.doi.org/10.3390/sym13030491")</f>
        <v>http://dx.doi.org/10.3390/sym13030491</v>
      </c>
    </row>
    <row r="1045" spans="1:9" ht="90" x14ac:dyDescent="0.25">
      <c r="A1045" s="2">
        <v>1042</v>
      </c>
      <c r="B1045" s="3" t="s">
        <v>3061</v>
      </c>
      <c r="C1045" s="3" t="s">
        <v>1165</v>
      </c>
      <c r="D1045" s="3" t="s">
        <v>3062</v>
      </c>
      <c r="E1045" s="2">
        <v>2021</v>
      </c>
      <c r="F1045" s="3" t="s">
        <v>2961</v>
      </c>
      <c r="G1045" s="2" t="s">
        <v>12</v>
      </c>
      <c r="H1045" s="3" t="s">
        <v>277</v>
      </c>
      <c r="I1045" s="10" t="str">
        <f>HYPERLINK("http://dx.doi.org/10.1016/j.physb.2021.413054","http://dx.doi.org/10.1016/j.physb.2021.413054")</f>
        <v>http://dx.doi.org/10.1016/j.physb.2021.413054</v>
      </c>
    </row>
    <row r="1046" spans="1:9" ht="75" x14ac:dyDescent="0.25">
      <c r="A1046" s="2">
        <v>1043</v>
      </c>
      <c r="B1046" s="3" t="s">
        <v>3063</v>
      </c>
      <c r="C1046" s="3" t="s">
        <v>40</v>
      </c>
      <c r="D1046" s="3" t="s">
        <v>3064</v>
      </c>
      <c r="E1046" s="2">
        <v>2022</v>
      </c>
      <c r="F1046" s="3" t="s">
        <v>42</v>
      </c>
      <c r="G1046" s="2" t="s">
        <v>12</v>
      </c>
      <c r="H1046" s="3" t="s">
        <v>43</v>
      </c>
      <c r="I1046" s="10" t="str">
        <f>HYPERLINK("http://dx.doi.org/10.3934/math.2022107","http://dx.doi.org/10.3934/math.2022107")</f>
        <v>http://dx.doi.org/10.3934/math.2022107</v>
      </c>
    </row>
    <row r="1047" spans="1:9" ht="105" x14ac:dyDescent="0.25">
      <c r="A1047" s="2">
        <v>1044</v>
      </c>
      <c r="B1047" s="3" t="s">
        <v>3065</v>
      </c>
      <c r="C1047" s="3" t="s">
        <v>1695</v>
      </c>
      <c r="D1047" s="3" t="s">
        <v>3066</v>
      </c>
      <c r="E1047" s="2">
        <v>2021</v>
      </c>
      <c r="F1047" s="3" t="s">
        <v>3067</v>
      </c>
      <c r="G1047" s="2" t="s">
        <v>12</v>
      </c>
      <c r="H1047" s="3" t="s">
        <v>181</v>
      </c>
      <c r="I1047" s="10" t="str">
        <f>HYPERLINK("http://dx.doi.org/10.1016/j.bmcl.2021.127916","http://dx.doi.org/10.1016/j.bmcl.2021.127916")</f>
        <v>http://dx.doi.org/10.1016/j.bmcl.2021.127916</v>
      </c>
    </row>
    <row r="1048" spans="1:9" ht="75" x14ac:dyDescent="0.25">
      <c r="A1048" s="2">
        <v>1045</v>
      </c>
      <c r="B1048" s="3" t="s">
        <v>3068</v>
      </c>
      <c r="C1048" s="3" t="s">
        <v>1778</v>
      </c>
      <c r="D1048" s="3" t="s">
        <v>3069</v>
      </c>
      <c r="E1048" s="2">
        <v>2018</v>
      </c>
      <c r="F1048" s="3" t="s">
        <v>261</v>
      </c>
      <c r="G1048" s="2" t="s">
        <v>12</v>
      </c>
      <c r="H1048" s="3" t="s">
        <v>2644</v>
      </c>
      <c r="I1048" s="10" t="str">
        <f>HYPERLINK("http://dx.doi.org/10.1016/j.ijleo.2018.03.098","http://dx.doi.org/10.1016/j.ijleo.2018.03.098")</f>
        <v>http://dx.doi.org/10.1016/j.ijleo.2018.03.098</v>
      </c>
    </row>
    <row r="1049" spans="1:9" ht="75" x14ac:dyDescent="0.25">
      <c r="A1049" s="2">
        <v>1046</v>
      </c>
      <c r="B1049" s="3" t="s">
        <v>3070</v>
      </c>
      <c r="C1049" s="3" t="s">
        <v>81</v>
      </c>
      <c r="D1049" s="3" t="s">
        <v>3071</v>
      </c>
      <c r="E1049" s="2">
        <v>2022</v>
      </c>
      <c r="F1049" s="3" t="s">
        <v>3042</v>
      </c>
      <c r="G1049" s="2" t="s">
        <v>12</v>
      </c>
      <c r="H1049" s="3" t="s">
        <v>91</v>
      </c>
      <c r="I1049" s="10" t="str">
        <f>HYPERLINK("http://dx.doi.org/10.1080/10406638.2020.1857272","http://dx.doi.org/10.1080/10406638.2020.1857272")</f>
        <v>http://dx.doi.org/10.1080/10406638.2020.1857272</v>
      </c>
    </row>
    <row r="1050" spans="1:9" ht="120" x14ac:dyDescent="0.25">
      <c r="A1050" s="2">
        <v>1047</v>
      </c>
      <c r="B1050" s="3" t="s">
        <v>3072</v>
      </c>
      <c r="C1050" s="3" t="s">
        <v>1084</v>
      </c>
      <c r="D1050" s="3" t="s">
        <v>3073</v>
      </c>
      <c r="E1050" s="2">
        <v>2021</v>
      </c>
      <c r="F1050" s="3" t="s">
        <v>3074</v>
      </c>
      <c r="G1050" s="2" t="s">
        <v>12</v>
      </c>
      <c r="H1050" s="3" t="s">
        <v>277</v>
      </c>
      <c r="I1050" s="10" t="str">
        <f>HYPERLINK("http://dx.doi.org/10.1016/j.inoche.2021.109019","http://dx.doi.org/10.1016/j.inoche.2021.109019")</f>
        <v>http://dx.doi.org/10.1016/j.inoche.2021.109019</v>
      </c>
    </row>
    <row r="1051" spans="1:9" ht="60" x14ac:dyDescent="0.25">
      <c r="A1051" s="2">
        <v>1048</v>
      </c>
      <c r="B1051" s="3" t="s">
        <v>3075</v>
      </c>
      <c r="C1051" s="3" t="s">
        <v>3076</v>
      </c>
      <c r="D1051" s="3" t="s">
        <v>3077</v>
      </c>
      <c r="E1051" s="2">
        <v>2022</v>
      </c>
      <c r="F1051" s="3" t="s">
        <v>3078</v>
      </c>
      <c r="G1051" s="2" t="s">
        <v>12</v>
      </c>
      <c r="H1051" s="3" t="s">
        <v>3079</v>
      </c>
      <c r="I1051" s="10" t="str">
        <f>HYPERLINK("http://dx.doi.org/10.21315/jps2022.33.2.1","http://dx.doi.org/10.21315/jps2022.33.2.1")</f>
        <v>http://dx.doi.org/10.21315/jps2022.33.2.1</v>
      </c>
    </row>
    <row r="1052" spans="1:9" ht="60" x14ac:dyDescent="0.25">
      <c r="A1052" s="2">
        <v>1049</v>
      </c>
      <c r="B1052" s="3" t="s">
        <v>3080</v>
      </c>
      <c r="C1052" s="3" t="s">
        <v>3081</v>
      </c>
      <c r="D1052" s="3" t="s">
        <v>3082</v>
      </c>
      <c r="E1052" s="2">
        <v>2018</v>
      </c>
      <c r="F1052" s="3" t="s">
        <v>3083</v>
      </c>
      <c r="G1052" s="2" t="s">
        <v>12</v>
      </c>
      <c r="H1052" s="3" t="s">
        <v>1637</v>
      </c>
      <c r="I1052" s="10" t="str">
        <f>HYPERLINK("http://dx.doi.org/10.1088/1674-1056/27/4/047801","http://dx.doi.org/10.1088/1674-1056/27/4/047801")</f>
        <v>http://dx.doi.org/10.1088/1674-1056/27/4/047801</v>
      </c>
    </row>
    <row r="1053" spans="1:9" ht="105" x14ac:dyDescent="0.25">
      <c r="A1053" s="2">
        <v>1050</v>
      </c>
      <c r="B1053" s="3" t="s">
        <v>3084</v>
      </c>
      <c r="C1053" s="3" t="s">
        <v>817</v>
      </c>
      <c r="D1053" s="3" t="s">
        <v>3085</v>
      </c>
      <c r="E1053" s="2">
        <v>2024</v>
      </c>
      <c r="F1053" s="3" t="s">
        <v>2967</v>
      </c>
      <c r="G1053" s="2" t="s">
        <v>12</v>
      </c>
      <c r="H1053" s="3" t="s">
        <v>277</v>
      </c>
      <c r="I1053" s="10" t="str">
        <f>HYPERLINK("http://dx.doi.org/10.1016/j.molstruc.2023.137253","http://dx.doi.org/10.1016/j.molstruc.2023.137253")</f>
        <v>http://dx.doi.org/10.1016/j.molstruc.2023.137253</v>
      </c>
    </row>
    <row r="1054" spans="1:9" ht="45" x14ac:dyDescent="0.25">
      <c r="A1054" s="2">
        <v>1051</v>
      </c>
      <c r="B1054" s="3" t="s">
        <v>3086</v>
      </c>
      <c r="C1054" s="3" t="s">
        <v>2420</v>
      </c>
      <c r="D1054" s="3" t="s">
        <v>3087</v>
      </c>
      <c r="E1054" s="2">
        <v>2019</v>
      </c>
      <c r="F1054" s="3" t="s">
        <v>3088</v>
      </c>
      <c r="G1054" s="2" t="s">
        <v>12</v>
      </c>
      <c r="H1054" s="3" t="s">
        <v>686</v>
      </c>
      <c r="I1054" s="10" t="str">
        <f>HYPERLINK("http://dx.doi.org/10.1016/j.matlet.2018.11.073","http://dx.doi.org/10.1016/j.matlet.2018.11.073")</f>
        <v>http://dx.doi.org/10.1016/j.matlet.2018.11.073</v>
      </c>
    </row>
    <row r="1055" spans="1:9" ht="90" x14ac:dyDescent="0.25">
      <c r="A1055" s="2">
        <v>1052</v>
      </c>
      <c r="B1055" s="3" t="s">
        <v>3089</v>
      </c>
      <c r="C1055" s="3" t="s">
        <v>1778</v>
      </c>
      <c r="D1055" s="3" t="s">
        <v>3090</v>
      </c>
      <c r="E1055" s="2">
        <v>2019</v>
      </c>
      <c r="F1055" s="3" t="s">
        <v>261</v>
      </c>
      <c r="G1055" s="2" t="s">
        <v>12</v>
      </c>
      <c r="H1055" s="3" t="s">
        <v>1011</v>
      </c>
      <c r="I1055" s="10" t="str">
        <f>HYPERLINK("http://dx.doi.org/10.1016/j.ijleo.2019.03.041","http://dx.doi.org/10.1016/j.ijleo.2019.03.041")</f>
        <v>http://dx.doi.org/10.1016/j.ijleo.2019.03.041</v>
      </c>
    </row>
    <row r="1056" spans="1:9" ht="60" x14ac:dyDescent="0.25">
      <c r="A1056" s="2">
        <v>1053</v>
      </c>
      <c r="B1056" s="3" t="s">
        <v>3091</v>
      </c>
      <c r="C1056" s="3" t="s">
        <v>3092</v>
      </c>
      <c r="D1056" s="3" t="s">
        <v>3093</v>
      </c>
      <c r="E1056" s="2">
        <v>2024</v>
      </c>
      <c r="F1056" s="3" t="s">
        <v>261</v>
      </c>
      <c r="G1056" s="2" t="s">
        <v>12</v>
      </c>
      <c r="H1056" s="3" t="s">
        <v>277</v>
      </c>
      <c r="I1056" s="10" t="str">
        <f>HYPERLINK("http://dx.doi.org/10.1016/j.chphi.2023.100419","http://dx.doi.org/10.1016/j.chphi.2023.100419")</f>
        <v>http://dx.doi.org/10.1016/j.chphi.2023.100419</v>
      </c>
    </row>
    <row r="1057" spans="1:9" ht="90" x14ac:dyDescent="0.25">
      <c r="A1057" s="2">
        <v>1054</v>
      </c>
      <c r="B1057" s="3" t="s">
        <v>3094</v>
      </c>
      <c r="C1057" s="3" t="s">
        <v>1084</v>
      </c>
      <c r="D1057" s="3" t="s">
        <v>3095</v>
      </c>
      <c r="E1057" s="2">
        <v>2022</v>
      </c>
      <c r="F1057" s="3" t="s">
        <v>3074</v>
      </c>
      <c r="G1057" s="2" t="s">
        <v>12</v>
      </c>
      <c r="H1057" s="3" t="s">
        <v>277</v>
      </c>
      <c r="I1057" s="10" t="str">
        <f>HYPERLINK("http://dx.doi.org/10.1016/j.inoche.2022.110079","http://dx.doi.org/10.1016/j.inoche.2022.110079")</f>
        <v>http://dx.doi.org/10.1016/j.inoche.2022.110079</v>
      </c>
    </row>
    <row r="1058" spans="1:9" ht="75" x14ac:dyDescent="0.25">
      <c r="A1058" s="2">
        <v>1055</v>
      </c>
      <c r="B1058" s="3" t="s">
        <v>3096</v>
      </c>
      <c r="C1058" s="3" t="s">
        <v>3097</v>
      </c>
      <c r="D1058" s="3" t="s">
        <v>3098</v>
      </c>
      <c r="E1058" s="2">
        <v>2023</v>
      </c>
      <c r="F1058" s="3" t="s">
        <v>3099</v>
      </c>
      <c r="G1058" s="2" t="s">
        <v>12</v>
      </c>
      <c r="H1058" s="3" t="s">
        <v>2017</v>
      </c>
      <c r="I1058" s="10" t="str">
        <f>HYPERLINK("http://dx.doi.org/10.1166/jno.2023.3494","http://dx.doi.org/10.1166/jno.2023.3494")</f>
        <v>http://dx.doi.org/10.1166/jno.2023.3494</v>
      </c>
    </row>
    <row r="1059" spans="1:9" ht="120" x14ac:dyDescent="0.25">
      <c r="A1059" s="2">
        <v>1056</v>
      </c>
      <c r="B1059" s="3" t="s">
        <v>3100</v>
      </c>
      <c r="C1059" s="3" t="s">
        <v>852</v>
      </c>
      <c r="D1059" s="3" t="s">
        <v>3101</v>
      </c>
      <c r="E1059" s="2">
        <v>2023</v>
      </c>
      <c r="F1059" s="3" t="s">
        <v>3102</v>
      </c>
      <c r="G1059" s="2" t="s">
        <v>12</v>
      </c>
      <c r="H1059" s="3" t="s">
        <v>91</v>
      </c>
      <c r="I1059" s="10" t="str">
        <f>HYPERLINK("http://dx.doi.org/10.1080/14786419.2022.2149519","http://dx.doi.org/10.1080/14786419.2022.2149519")</f>
        <v>http://dx.doi.org/10.1080/14786419.2022.2149519</v>
      </c>
    </row>
    <row r="1060" spans="1:9" ht="90" x14ac:dyDescent="0.25">
      <c r="A1060" s="2">
        <v>1057</v>
      </c>
      <c r="B1060" s="3" t="s">
        <v>3103</v>
      </c>
      <c r="C1060" s="3" t="s">
        <v>2806</v>
      </c>
      <c r="D1060" s="3" t="s">
        <v>3104</v>
      </c>
      <c r="E1060" s="2">
        <v>2023</v>
      </c>
      <c r="F1060" s="3" t="s">
        <v>261</v>
      </c>
      <c r="G1060" s="2" t="s">
        <v>12</v>
      </c>
      <c r="H1060" s="3" t="s">
        <v>1202</v>
      </c>
      <c r="I1060" s="10" t="str">
        <f>HYPERLINK("http://dx.doi.org/10.1016/j.synthmet.2023.117357","http://dx.doi.org/10.1016/j.synthmet.2023.117357")</f>
        <v>http://dx.doi.org/10.1016/j.synthmet.2023.117357</v>
      </c>
    </row>
    <row r="1061" spans="1:9" ht="60" x14ac:dyDescent="0.25">
      <c r="A1061" s="2">
        <v>1058</v>
      </c>
      <c r="B1061" s="3" t="s">
        <v>3105</v>
      </c>
      <c r="C1061" s="3" t="s">
        <v>3106</v>
      </c>
      <c r="D1061" s="3" t="s">
        <v>3107</v>
      </c>
      <c r="E1061" s="2">
        <v>2024</v>
      </c>
      <c r="F1061" s="3" t="s">
        <v>3108</v>
      </c>
      <c r="G1061" s="2" t="s">
        <v>12</v>
      </c>
      <c r="H1061" s="3" t="s">
        <v>23</v>
      </c>
      <c r="I1061" s="10" t="str">
        <f>HYPERLINK("http://dx.doi.org/10.1002/adem.202301572","http://dx.doi.org/10.1002/adem.202301572")</f>
        <v>http://dx.doi.org/10.1002/adem.202301572</v>
      </c>
    </row>
    <row r="1062" spans="1:9" ht="120" x14ac:dyDescent="0.25">
      <c r="A1062" s="2">
        <v>1059</v>
      </c>
      <c r="B1062" s="3" t="s">
        <v>3109</v>
      </c>
      <c r="C1062" s="3" t="s">
        <v>3110</v>
      </c>
      <c r="D1062" s="3" t="s">
        <v>3111</v>
      </c>
      <c r="E1062" s="2">
        <v>2023</v>
      </c>
      <c r="F1062" s="3" t="s">
        <v>3112</v>
      </c>
      <c r="G1062" s="2" t="s">
        <v>12</v>
      </c>
      <c r="H1062" s="3" t="s">
        <v>2869</v>
      </c>
      <c r="I1062" s="10" t="str">
        <f>HYPERLINK("http://dx.doi.org/10.1515/gps-2023-0051","http://dx.doi.org/10.1515/gps-2023-0051")</f>
        <v>http://dx.doi.org/10.1515/gps-2023-0051</v>
      </c>
    </row>
    <row r="1063" spans="1:9" ht="105" x14ac:dyDescent="0.25">
      <c r="A1063" s="2">
        <v>1060</v>
      </c>
      <c r="B1063" s="3" t="s">
        <v>3113</v>
      </c>
      <c r="C1063" s="3" t="s">
        <v>961</v>
      </c>
      <c r="D1063" s="3" t="s">
        <v>3114</v>
      </c>
      <c r="E1063" s="2">
        <v>2023</v>
      </c>
      <c r="F1063" s="3" t="s">
        <v>3115</v>
      </c>
      <c r="G1063" s="2" t="s">
        <v>12</v>
      </c>
      <c r="H1063" s="3" t="s">
        <v>747</v>
      </c>
      <c r="I1063" s="10" t="str">
        <f>HYPERLINK("http://dx.doi.org/10.1016/j.ceramint.2022.10.135","http://dx.doi.org/10.1016/j.ceramint.2022.10.135")</f>
        <v>http://dx.doi.org/10.1016/j.ceramint.2022.10.135</v>
      </c>
    </row>
    <row r="1064" spans="1:9" ht="75" x14ac:dyDescent="0.25">
      <c r="A1064" s="2">
        <v>1061</v>
      </c>
      <c r="B1064" s="3" t="s">
        <v>3116</v>
      </c>
      <c r="C1064" s="3" t="s">
        <v>1079</v>
      </c>
      <c r="D1064" s="3" t="s">
        <v>3117</v>
      </c>
      <c r="E1064" s="2">
        <v>2022</v>
      </c>
      <c r="F1064" s="3" t="s">
        <v>3118</v>
      </c>
      <c r="G1064" s="2" t="s">
        <v>12</v>
      </c>
      <c r="H1064" s="3" t="s">
        <v>181</v>
      </c>
      <c r="I1064" s="10" t="str">
        <f>HYPERLINK("http://dx.doi.org/10.1016/j.radphyschem.2022.110039","http://dx.doi.org/10.1016/j.radphyschem.2022.110039")</f>
        <v>http://dx.doi.org/10.1016/j.radphyschem.2022.110039</v>
      </c>
    </row>
    <row r="1065" spans="1:9" ht="75" x14ac:dyDescent="0.25">
      <c r="A1065" s="2">
        <v>1062</v>
      </c>
      <c r="B1065" s="3" t="s">
        <v>3119</v>
      </c>
      <c r="C1065" s="3" t="s">
        <v>2656</v>
      </c>
      <c r="D1065" s="3" t="s">
        <v>3120</v>
      </c>
      <c r="E1065" s="2">
        <v>2024</v>
      </c>
      <c r="F1065" s="3" t="s">
        <v>3121</v>
      </c>
      <c r="G1065" s="2" t="s">
        <v>12</v>
      </c>
      <c r="H1065" s="3" t="s">
        <v>747</v>
      </c>
      <c r="I1065" s="10" t="str">
        <f>HYPERLINK("http://dx.doi.org/10.1016/j.mssp.2023.108020","http://dx.doi.org/10.1016/j.mssp.2023.108020")</f>
        <v>http://dx.doi.org/10.1016/j.mssp.2023.108020</v>
      </c>
    </row>
    <row r="1066" spans="1:9" ht="60" x14ac:dyDescent="0.25">
      <c r="A1066" s="2">
        <v>1063</v>
      </c>
      <c r="B1066" s="3" t="s">
        <v>3122</v>
      </c>
      <c r="C1066" s="3" t="s">
        <v>2420</v>
      </c>
      <c r="D1066" s="3" t="s">
        <v>3123</v>
      </c>
      <c r="E1066" s="2">
        <v>2018</v>
      </c>
      <c r="F1066" s="3" t="s">
        <v>3088</v>
      </c>
      <c r="G1066" s="2" t="s">
        <v>12</v>
      </c>
      <c r="H1066" s="3" t="s">
        <v>686</v>
      </c>
      <c r="I1066" s="10" t="str">
        <f>HYPERLINK("http://dx.doi.org/10.1016/j.matlet.2018.09.013","http://dx.doi.org/10.1016/j.matlet.2018.09.013")</f>
        <v>http://dx.doi.org/10.1016/j.matlet.2018.09.013</v>
      </c>
    </row>
    <row r="1067" spans="1:9" ht="90" x14ac:dyDescent="0.25">
      <c r="A1067" s="2">
        <v>1064</v>
      </c>
      <c r="B1067" s="3" t="s">
        <v>3124</v>
      </c>
      <c r="C1067" s="3" t="s">
        <v>1238</v>
      </c>
      <c r="D1067" s="3" t="s">
        <v>3125</v>
      </c>
      <c r="E1067" s="2">
        <v>2024</v>
      </c>
      <c r="F1067" s="3" t="s">
        <v>3126</v>
      </c>
      <c r="G1067" s="2" t="s">
        <v>12</v>
      </c>
      <c r="H1067" s="3" t="s">
        <v>48</v>
      </c>
      <c r="I1067" s="10" t="str">
        <f>HYPERLINK("http://dx.doi.org/10.1007/s11664-023-10766-3","http://dx.doi.org/10.1007/s11664-023-10766-3")</f>
        <v>http://dx.doi.org/10.1007/s11664-023-10766-3</v>
      </c>
    </row>
    <row r="1068" spans="1:9" ht="105" x14ac:dyDescent="0.25">
      <c r="A1068" s="2">
        <v>1065</v>
      </c>
      <c r="B1068" s="3" t="s">
        <v>3127</v>
      </c>
      <c r="C1068" s="3" t="s">
        <v>1969</v>
      </c>
      <c r="D1068" s="3" t="s">
        <v>3128</v>
      </c>
      <c r="E1068" s="2">
        <v>2021</v>
      </c>
      <c r="F1068" s="3" t="s">
        <v>2985</v>
      </c>
      <c r="G1068" s="2" t="s">
        <v>12</v>
      </c>
      <c r="H1068" s="3" t="s">
        <v>1202</v>
      </c>
      <c r="I1068" s="10" t="str">
        <f>HYPERLINK("http://dx.doi.org/10.1016/j.jallcom.2020.158031","http://dx.doi.org/10.1016/j.jallcom.2020.158031")</f>
        <v>http://dx.doi.org/10.1016/j.jallcom.2020.158031</v>
      </c>
    </row>
    <row r="1069" spans="1:9" ht="90" x14ac:dyDescent="0.25">
      <c r="A1069" s="2">
        <v>1066</v>
      </c>
      <c r="B1069" s="3" t="s">
        <v>3129</v>
      </c>
      <c r="C1069" s="3" t="s">
        <v>2721</v>
      </c>
      <c r="D1069" s="3" t="s">
        <v>3130</v>
      </c>
      <c r="E1069" s="2">
        <v>2023</v>
      </c>
      <c r="F1069" s="3" t="s">
        <v>2648</v>
      </c>
      <c r="G1069" s="2" t="s">
        <v>12</v>
      </c>
      <c r="H1069" s="3" t="s">
        <v>2869</v>
      </c>
      <c r="I1069" s="10" t="str">
        <f>HYPERLINK("http://dx.doi.org/10.1515/chem-2023-0168","http://dx.doi.org/10.1515/chem-2023-0168")</f>
        <v>http://dx.doi.org/10.1515/chem-2023-0168</v>
      </c>
    </row>
    <row r="1070" spans="1:9" ht="105" x14ac:dyDescent="0.25">
      <c r="A1070" s="2">
        <v>1067</v>
      </c>
      <c r="B1070" s="3" t="s">
        <v>3131</v>
      </c>
      <c r="C1070" s="3" t="s">
        <v>3132</v>
      </c>
      <c r="D1070" s="3" t="s">
        <v>3133</v>
      </c>
      <c r="E1070" s="2">
        <v>2019</v>
      </c>
      <c r="F1070" s="3" t="s">
        <v>3134</v>
      </c>
      <c r="G1070" s="2" t="s">
        <v>12</v>
      </c>
      <c r="H1070" s="3" t="s">
        <v>747</v>
      </c>
      <c r="I1070" s="10" t="str">
        <f>HYPERLINK("http://dx.doi.org/10.1016/j.compositesb.2018.12.001","http://dx.doi.org/10.1016/j.compositesb.2018.12.001")</f>
        <v>http://dx.doi.org/10.1016/j.compositesb.2018.12.001</v>
      </c>
    </row>
    <row r="1071" spans="1:9" ht="75" x14ac:dyDescent="0.25">
      <c r="A1071" s="2">
        <v>1068</v>
      </c>
      <c r="B1071" s="3" t="s">
        <v>3135</v>
      </c>
      <c r="C1071" s="3" t="s">
        <v>2948</v>
      </c>
      <c r="D1071" s="3" t="s">
        <v>3136</v>
      </c>
      <c r="E1071" s="2">
        <v>2021</v>
      </c>
      <c r="F1071" s="3" t="s">
        <v>3137</v>
      </c>
      <c r="G1071" s="2" t="s">
        <v>12</v>
      </c>
      <c r="H1071" s="3" t="s">
        <v>277</v>
      </c>
      <c r="I1071" s="10" t="str">
        <f>HYPERLINK("http://dx.doi.org/10.1016/j.rinp.2020.103702","http://dx.doi.org/10.1016/j.rinp.2020.103702")</f>
        <v>http://dx.doi.org/10.1016/j.rinp.2020.103702</v>
      </c>
    </row>
    <row r="1072" spans="1:9" ht="75" x14ac:dyDescent="0.25">
      <c r="A1072" s="2">
        <v>1069</v>
      </c>
      <c r="B1072" s="3" t="s">
        <v>3138</v>
      </c>
      <c r="C1072" s="3" t="s">
        <v>3139</v>
      </c>
      <c r="D1072" s="3" t="s">
        <v>3140</v>
      </c>
      <c r="E1072" s="2">
        <v>2023</v>
      </c>
      <c r="F1072" s="3" t="s">
        <v>3141</v>
      </c>
      <c r="G1072" s="2" t="s">
        <v>12</v>
      </c>
      <c r="H1072" s="3" t="s">
        <v>3142</v>
      </c>
      <c r="I1072" s="10" t="str">
        <f>HYPERLINK("http://dx.doi.org/10.1159/000531802","http://dx.doi.org/10.1159/000531802")</f>
        <v>http://dx.doi.org/10.1159/000531802</v>
      </c>
    </row>
    <row r="1073" spans="1:9" ht="75" x14ac:dyDescent="0.25">
      <c r="A1073" s="2">
        <v>1070</v>
      </c>
      <c r="B1073" s="3" t="s">
        <v>3143</v>
      </c>
      <c r="C1073" s="3" t="s">
        <v>2656</v>
      </c>
      <c r="D1073" s="3" t="s">
        <v>3144</v>
      </c>
      <c r="E1073" s="2">
        <v>2023</v>
      </c>
      <c r="F1073" s="3" t="s">
        <v>3121</v>
      </c>
      <c r="G1073" s="2" t="s">
        <v>12</v>
      </c>
      <c r="H1073" s="3" t="s">
        <v>747</v>
      </c>
      <c r="I1073" s="10" t="str">
        <f>HYPERLINK("http://dx.doi.org/10.1016/j.mssp.2022.107255","http://dx.doi.org/10.1016/j.mssp.2022.107255")</f>
        <v>http://dx.doi.org/10.1016/j.mssp.2022.107255</v>
      </c>
    </row>
    <row r="1074" spans="1:9" ht="75" x14ac:dyDescent="0.25">
      <c r="A1074" s="2">
        <v>1071</v>
      </c>
      <c r="B1074" s="3" t="s">
        <v>3145</v>
      </c>
      <c r="C1074" s="3" t="s">
        <v>2354</v>
      </c>
      <c r="D1074" s="3" t="s">
        <v>3146</v>
      </c>
      <c r="E1074" s="2">
        <v>2022</v>
      </c>
      <c r="F1074" s="3" t="s">
        <v>267</v>
      </c>
      <c r="G1074" s="2" t="s">
        <v>12</v>
      </c>
      <c r="H1074" s="3" t="s">
        <v>799</v>
      </c>
      <c r="I1074" s="10" t="str">
        <f>HYPERLINK("http://dx.doi.org/10.3390/ma15062330","http://dx.doi.org/10.3390/ma15062330")</f>
        <v>http://dx.doi.org/10.3390/ma15062330</v>
      </c>
    </row>
    <row r="1075" spans="1:9" ht="105" x14ac:dyDescent="0.25">
      <c r="A1075" s="2">
        <v>1072</v>
      </c>
      <c r="B1075" s="3" t="s">
        <v>3147</v>
      </c>
      <c r="C1075" s="3" t="s">
        <v>3148</v>
      </c>
      <c r="D1075" s="3" t="s">
        <v>3149</v>
      </c>
      <c r="E1075" s="2">
        <v>2021</v>
      </c>
      <c r="F1075" s="3" t="s">
        <v>3150</v>
      </c>
      <c r="G1075" s="2" t="s">
        <v>12</v>
      </c>
      <c r="H1075" s="3" t="s">
        <v>3151</v>
      </c>
      <c r="I1075" s="10" t="str">
        <f>HYPERLINK("http://dx.doi.org/10.1590/1980-5373-MR-2021-0243","http://dx.doi.org/10.1590/1980-5373-MR-2021-0243")</f>
        <v>http://dx.doi.org/10.1590/1980-5373-MR-2021-0243</v>
      </c>
    </row>
    <row r="1076" spans="1:9" ht="120" x14ac:dyDescent="0.25">
      <c r="A1076" s="2">
        <v>1073</v>
      </c>
      <c r="B1076" s="3" t="s">
        <v>3152</v>
      </c>
      <c r="C1076" s="3" t="s">
        <v>1969</v>
      </c>
      <c r="D1076" s="3" t="s">
        <v>3153</v>
      </c>
      <c r="E1076" s="2">
        <v>2023</v>
      </c>
      <c r="F1076" s="3" t="s">
        <v>2985</v>
      </c>
      <c r="G1076" s="2" t="s">
        <v>12</v>
      </c>
      <c r="H1076" s="3" t="s">
        <v>1202</v>
      </c>
      <c r="I1076" s="10" t="str">
        <f>HYPERLINK("http://dx.doi.org/10.1016/j.jallcom.2023.170412","http://dx.doi.org/10.1016/j.jallcom.2023.170412")</f>
        <v>http://dx.doi.org/10.1016/j.jallcom.2023.170412</v>
      </c>
    </row>
    <row r="1077" spans="1:9" ht="75" x14ac:dyDescent="0.25">
      <c r="A1077" s="2">
        <v>1074</v>
      </c>
      <c r="B1077" s="3" t="s">
        <v>3154</v>
      </c>
      <c r="C1077" s="3" t="s">
        <v>2941</v>
      </c>
      <c r="D1077" s="3" t="s">
        <v>3155</v>
      </c>
      <c r="E1077" s="2">
        <v>2023</v>
      </c>
      <c r="F1077" s="3" t="s">
        <v>2943</v>
      </c>
      <c r="G1077" s="2" t="s">
        <v>12</v>
      </c>
      <c r="H1077" s="3" t="s">
        <v>799</v>
      </c>
      <c r="I1077" s="10" t="str">
        <f>HYPERLINK("http://dx.doi.org/10.3390/sym15030662","http://dx.doi.org/10.3390/sym15030662")</f>
        <v>http://dx.doi.org/10.3390/sym15030662</v>
      </c>
    </row>
    <row r="1078" spans="1:9" ht="90" x14ac:dyDescent="0.25">
      <c r="A1078" s="2">
        <v>1075</v>
      </c>
      <c r="B1078" s="3" t="s">
        <v>3156</v>
      </c>
      <c r="C1078" s="3" t="s">
        <v>3157</v>
      </c>
      <c r="D1078" s="3" t="s">
        <v>3158</v>
      </c>
      <c r="E1078" s="2">
        <v>2023</v>
      </c>
      <c r="F1078" s="3" t="s">
        <v>3159</v>
      </c>
      <c r="G1078" s="2" t="s">
        <v>12</v>
      </c>
      <c r="H1078" s="3" t="s">
        <v>2017</v>
      </c>
      <c r="I1078" s="10" t="str">
        <f>HYPERLINK("http://dx.doi.org/10.1166/sam.2023.4584","http://dx.doi.org/10.1166/sam.2023.4584")</f>
        <v>http://dx.doi.org/10.1166/sam.2023.4584</v>
      </c>
    </row>
    <row r="1079" spans="1:9" ht="135" x14ac:dyDescent="0.25">
      <c r="A1079" s="2">
        <v>1076</v>
      </c>
      <c r="B1079" s="3" t="s">
        <v>3160</v>
      </c>
      <c r="C1079" s="3" t="s">
        <v>3161</v>
      </c>
      <c r="D1079" s="3" t="s">
        <v>3162</v>
      </c>
      <c r="E1079" s="2">
        <v>2018</v>
      </c>
      <c r="F1079" s="3" t="s">
        <v>3163</v>
      </c>
      <c r="G1079" s="2" t="s">
        <v>12</v>
      </c>
      <c r="H1079" s="3" t="s">
        <v>747</v>
      </c>
      <c r="I1079" s="10" t="str">
        <f>HYPERLINK("http://dx.doi.org/10.1016/j.optlastec.2018.02.018","http://dx.doi.org/10.1016/j.optlastec.2018.02.018")</f>
        <v>http://dx.doi.org/10.1016/j.optlastec.2018.02.018</v>
      </c>
    </row>
    <row r="1080" spans="1:9" ht="90" x14ac:dyDescent="0.25">
      <c r="A1080" s="2">
        <v>1077</v>
      </c>
      <c r="B1080" s="3" t="s">
        <v>3164</v>
      </c>
      <c r="C1080" s="3" t="s">
        <v>3165</v>
      </c>
      <c r="D1080" s="3" t="s">
        <v>3166</v>
      </c>
      <c r="E1080" s="2">
        <v>2023</v>
      </c>
      <c r="F1080" s="3" t="s">
        <v>3167</v>
      </c>
      <c r="G1080" s="2" t="s">
        <v>12</v>
      </c>
      <c r="H1080" s="3" t="s">
        <v>799</v>
      </c>
      <c r="I1080" s="10" t="str">
        <f>HYPERLINK("http://dx.doi.org/10.3390/biology12030467","http://dx.doi.org/10.3390/biology12030467")</f>
        <v>http://dx.doi.org/10.3390/biology12030467</v>
      </c>
    </row>
    <row r="1081" spans="1:9" ht="150" x14ac:dyDescent="0.25">
      <c r="A1081" s="2">
        <v>1078</v>
      </c>
      <c r="B1081" s="3" t="s">
        <v>3168</v>
      </c>
      <c r="C1081" s="3" t="s">
        <v>1808</v>
      </c>
      <c r="D1081" s="3" t="s">
        <v>3169</v>
      </c>
      <c r="E1081" s="2">
        <v>2022</v>
      </c>
      <c r="F1081" s="3" t="s">
        <v>194</v>
      </c>
      <c r="G1081" s="2" t="s">
        <v>12</v>
      </c>
      <c r="H1081" s="3" t="s">
        <v>799</v>
      </c>
      <c r="I1081" s="10" t="str">
        <f>HYPERLINK("http://dx.doi.org/10.3390/molecules27196404","http://dx.doi.org/10.3390/molecules27196404")</f>
        <v>http://dx.doi.org/10.3390/molecules27196404</v>
      </c>
    </row>
    <row r="1082" spans="1:9" ht="75" x14ac:dyDescent="0.25">
      <c r="A1082" s="2">
        <v>1079</v>
      </c>
      <c r="B1082" s="3" t="s">
        <v>3170</v>
      </c>
      <c r="C1082" s="3" t="s">
        <v>3171</v>
      </c>
      <c r="D1082" s="3" t="s">
        <v>3172</v>
      </c>
      <c r="E1082" s="2">
        <v>2021</v>
      </c>
      <c r="F1082" s="3" t="s">
        <v>3173</v>
      </c>
      <c r="G1082" s="2" t="s">
        <v>12</v>
      </c>
      <c r="H1082" s="3" t="s">
        <v>67</v>
      </c>
      <c r="I1082" s="10" t="str">
        <f>HYPERLINK("http://dx.doi.org/10.1002/tox.23353","http://dx.doi.org/10.1002/tox.23353")</f>
        <v>http://dx.doi.org/10.1002/tox.23353</v>
      </c>
    </row>
    <row r="1083" spans="1:9" ht="60" x14ac:dyDescent="0.25">
      <c r="A1083" s="2">
        <v>1080</v>
      </c>
      <c r="B1083" s="3" t="s">
        <v>3174</v>
      </c>
      <c r="C1083" s="3" t="s">
        <v>3175</v>
      </c>
      <c r="D1083" s="3" t="s">
        <v>3176</v>
      </c>
      <c r="E1083" s="2">
        <v>2019</v>
      </c>
      <c r="F1083" s="3" t="s">
        <v>3177</v>
      </c>
      <c r="G1083" s="2" t="s">
        <v>12</v>
      </c>
      <c r="H1083" s="3" t="s">
        <v>698</v>
      </c>
      <c r="I1083" s="10" t="str">
        <f>HYPERLINK("http://dx.doi.org/10.1134/S1990341319040126","http://dx.doi.org/10.1134/S1990341319040126")</f>
        <v>http://dx.doi.org/10.1134/S1990341319040126</v>
      </c>
    </row>
    <row r="1084" spans="1:9" ht="75" x14ac:dyDescent="0.25">
      <c r="A1084" s="2">
        <v>1081</v>
      </c>
      <c r="B1084" s="3" t="s">
        <v>3178</v>
      </c>
      <c r="C1084" s="3" t="s">
        <v>1342</v>
      </c>
      <c r="D1084" s="3" t="s">
        <v>3179</v>
      </c>
      <c r="E1084" s="2">
        <v>2022</v>
      </c>
      <c r="F1084" s="3" t="s">
        <v>129</v>
      </c>
      <c r="G1084" s="2" t="s">
        <v>12</v>
      </c>
      <c r="H1084" s="3" t="s">
        <v>799</v>
      </c>
      <c r="I1084" s="10" t="str">
        <f>HYPERLINK("http://dx.doi.org/10.3390/electronics11152460","http://dx.doi.org/10.3390/electronics11152460")</f>
        <v>http://dx.doi.org/10.3390/electronics11152460</v>
      </c>
    </row>
    <row r="1085" spans="1:9" ht="120" x14ac:dyDescent="0.25">
      <c r="A1085" s="2">
        <v>1082</v>
      </c>
      <c r="B1085" s="3" t="s">
        <v>3180</v>
      </c>
      <c r="C1085" s="3" t="s">
        <v>2806</v>
      </c>
      <c r="D1085" s="3" t="s">
        <v>3181</v>
      </c>
      <c r="E1085" s="2">
        <v>2022</v>
      </c>
      <c r="F1085" s="3" t="s">
        <v>261</v>
      </c>
      <c r="G1085" s="2" t="s">
        <v>12</v>
      </c>
      <c r="H1085" s="3" t="s">
        <v>1202</v>
      </c>
      <c r="I1085" s="10" t="str">
        <f>HYPERLINK("http://dx.doi.org/10.1016/j.synthmet.2022.117166","http://dx.doi.org/10.1016/j.synthmet.2022.117166")</f>
        <v>http://dx.doi.org/10.1016/j.synthmet.2022.117166</v>
      </c>
    </row>
    <row r="1086" spans="1:9" ht="150" x14ac:dyDescent="0.25">
      <c r="A1086" s="2">
        <v>1083</v>
      </c>
      <c r="B1086" s="3" t="s">
        <v>3182</v>
      </c>
      <c r="C1086" s="3" t="s">
        <v>1808</v>
      </c>
      <c r="D1086" s="3" t="s">
        <v>3183</v>
      </c>
      <c r="E1086" s="2">
        <v>2022</v>
      </c>
      <c r="F1086" s="3" t="s">
        <v>194</v>
      </c>
      <c r="G1086" s="2" t="s">
        <v>12</v>
      </c>
      <c r="H1086" s="3" t="s">
        <v>799</v>
      </c>
      <c r="I1086" s="10" t="str">
        <f>HYPERLINK("http://dx.doi.org/10.3390/molecules27238576","http://dx.doi.org/10.3390/molecules27238576")</f>
        <v>http://dx.doi.org/10.3390/molecules27238576</v>
      </c>
    </row>
    <row r="1087" spans="1:9" ht="90" x14ac:dyDescent="0.25">
      <c r="A1087" s="2">
        <v>1084</v>
      </c>
      <c r="B1087" s="3" t="s">
        <v>3184</v>
      </c>
      <c r="C1087" s="3" t="s">
        <v>3185</v>
      </c>
      <c r="D1087" s="3" t="s">
        <v>3186</v>
      </c>
      <c r="E1087" s="2">
        <v>2023</v>
      </c>
      <c r="F1087" s="3" t="s">
        <v>3187</v>
      </c>
      <c r="G1087" s="2" t="s">
        <v>12</v>
      </c>
      <c r="H1087" s="3" t="s">
        <v>3188</v>
      </c>
      <c r="I1087" s="10" t="str">
        <f>HYPERLINK("http://dx.doi.org/10.1097/JS9.0000000000000074","http://dx.doi.org/10.1097/JS9.0000000000000074")</f>
        <v>http://dx.doi.org/10.1097/JS9.0000000000000074</v>
      </c>
    </row>
    <row r="1088" spans="1:9" ht="120" x14ac:dyDescent="0.25">
      <c r="A1088" s="2">
        <v>1085</v>
      </c>
      <c r="B1088" s="3" t="s">
        <v>3189</v>
      </c>
      <c r="C1088" s="3" t="s">
        <v>1149</v>
      </c>
      <c r="D1088" s="3" t="s">
        <v>3190</v>
      </c>
      <c r="E1088" s="2">
        <v>2022</v>
      </c>
      <c r="F1088" s="3" t="s">
        <v>3058</v>
      </c>
      <c r="G1088" s="2" t="s">
        <v>12</v>
      </c>
      <c r="H1088" s="3" t="s">
        <v>277</v>
      </c>
      <c r="I1088" s="10" t="str">
        <f>HYPERLINK("http://dx.doi.org/10.1016/j.jnoncrysol.2021.121250","http://dx.doi.org/10.1016/j.jnoncrysol.2021.121250")</f>
        <v>http://dx.doi.org/10.1016/j.jnoncrysol.2021.121250</v>
      </c>
    </row>
    <row r="1089" spans="1:9" ht="135" x14ac:dyDescent="0.25">
      <c r="A1089" s="2">
        <v>1086</v>
      </c>
      <c r="B1089" s="3" t="s">
        <v>3191</v>
      </c>
      <c r="C1089" s="3" t="s">
        <v>3192</v>
      </c>
      <c r="D1089" s="3" t="s">
        <v>3193</v>
      </c>
      <c r="E1089" s="2">
        <v>2023</v>
      </c>
      <c r="F1089" s="3" t="s">
        <v>3194</v>
      </c>
      <c r="G1089" s="2" t="s">
        <v>12</v>
      </c>
      <c r="H1089" s="3" t="s">
        <v>1177</v>
      </c>
      <c r="I1089" s="10" t="str">
        <f>HYPERLINK("http://dx.doi.org/10.1089/jmf.2023.0062","http://dx.doi.org/10.1089/jmf.2023.0062")</f>
        <v>http://dx.doi.org/10.1089/jmf.2023.0062</v>
      </c>
    </row>
    <row r="1090" spans="1:9" ht="105" x14ac:dyDescent="0.25">
      <c r="A1090" s="2">
        <v>1087</v>
      </c>
      <c r="B1090" s="3" t="s">
        <v>3195</v>
      </c>
      <c r="C1090" s="3" t="s">
        <v>3196</v>
      </c>
      <c r="D1090" s="3" t="s">
        <v>3197</v>
      </c>
      <c r="E1090" s="2">
        <v>2022</v>
      </c>
      <c r="F1090" s="3" t="s">
        <v>3198</v>
      </c>
      <c r="G1090" s="2" t="s">
        <v>12</v>
      </c>
      <c r="H1090" s="3" t="s">
        <v>277</v>
      </c>
      <c r="I1090" s="10" t="str">
        <f>HYPERLINK("http://dx.doi.org/10.1016/j.optmat.2022.112313","http://dx.doi.org/10.1016/j.optmat.2022.112313")</f>
        <v>http://dx.doi.org/10.1016/j.optmat.2022.112313</v>
      </c>
    </row>
    <row r="1091" spans="1:9" ht="45" x14ac:dyDescent="0.25">
      <c r="A1091" s="2">
        <v>1088</v>
      </c>
      <c r="B1091" s="3" t="s">
        <v>3199</v>
      </c>
      <c r="C1091" s="3" t="s">
        <v>3200</v>
      </c>
      <c r="D1091" s="3" t="s">
        <v>3200</v>
      </c>
      <c r="E1091" s="2">
        <v>2022</v>
      </c>
      <c r="F1091" s="3" t="s">
        <v>3202</v>
      </c>
      <c r="G1091" s="2" t="s">
        <v>12</v>
      </c>
      <c r="H1091" s="3" t="s">
        <v>3203</v>
      </c>
      <c r="I1091" s="15" t="s">
        <v>3204</v>
      </c>
    </row>
    <row r="1092" spans="1:9" ht="45" x14ac:dyDescent="0.25">
      <c r="A1092" s="2">
        <v>1089</v>
      </c>
      <c r="B1092" s="3" t="s">
        <v>3199</v>
      </c>
      <c r="C1092" s="3" t="s">
        <v>3205</v>
      </c>
      <c r="D1092" s="3" t="s">
        <v>3205</v>
      </c>
      <c r="E1092" s="2">
        <v>2022</v>
      </c>
      <c r="F1092" s="3">
        <v>0</v>
      </c>
      <c r="G1092" s="2" t="s">
        <v>12</v>
      </c>
      <c r="H1092" s="3" t="s">
        <v>3206</v>
      </c>
      <c r="I1092" s="12" t="s">
        <v>3204</v>
      </c>
    </row>
    <row r="1093" spans="1:9" ht="45" x14ac:dyDescent="0.25">
      <c r="A1093" s="2">
        <v>1090</v>
      </c>
      <c r="B1093" s="3" t="s">
        <v>3207</v>
      </c>
      <c r="C1093" s="3" t="s">
        <v>3208</v>
      </c>
      <c r="D1093" s="3" t="s">
        <v>3208</v>
      </c>
      <c r="E1093" s="2">
        <v>2019</v>
      </c>
      <c r="F1093" s="3">
        <v>9781771887984</v>
      </c>
      <c r="G1093" s="2" t="s">
        <v>12</v>
      </c>
      <c r="H1093" s="3" t="s">
        <v>3209</v>
      </c>
      <c r="I1093" s="15" t="s">
        <v>3204</v>
      </c>
    </row>
    <row r="1094" spans="1:9" ht="30" x14ac:dyDescent="0.25">
      <c r="A1094" s="2">
        <v>1091</v>
      </c>
      <c r="B1094" s="3" t="s">
        <v>3207</v>
      </c>
      <c r="C1094" s="3" t="s">
        <v>3210</v>
      </c>
      <c r="D1094" s="3" t="s">
        <v>3210</v>
      </c>
      <c r="E1094" s="2">
        <v>2020</v>
      </c>
      <c r="F1094" s="3" t="s">
        <v>3211</v>
      </c>
      <c r="G1094" s="2" t="s">
        <v>12</v>
      </c>
      <c r="H1094" s="3" t="s">
        <v>3212</v>
      </c>
      <c r="I1094" s="12" t="s">
        <v>3204</v>
      </c>
    </row>
    <row r="1095" spans="1:9" ht="45" x14ac:dyDescent="0.25">
      <c r="A1095" s="2">
        <v>1092</v>
      </c>
      <c r="B1095" s="3" t="s">
        <v>3207</v>
      </c>
      <c r="C1095" s="3" t="s">
        <v>3213</v>
      </c>
      <c r="D1095" s="3" t="s">
        <v>3213</v>
      </c>
      <c r="E1095" s="2">
        <v>2020</v>
      </c>
      <c r="F1095" s="3" t="s">
        <v>3214</v>
      </c>
      <c r="G1095" s="2" t="s">
        <v>12</v>
      </c>
      <c r="H1095" s="3" t="s">
        <v>3215</v>
      </c>
      <c r="I1095" s="15" t="s">
        <v>3204</v>
      </c>
    </row>
    <row r="1096" spans="1:9" ht="30" x14ac:dyDescent="0.25">
      <c r="A1096" s="2">
        <v>1093</v>
      </c>
      <c r="B1096" s="3" t="s">
        <v>3207</v>
      </c>
      <c r="C1096" s="3" t="s">
        <v>3216</v>
      </c>
      <c r="D1096" s="3" t="s">
        <v>3216</v>
      </c>
      <c r="E1096" s="2">
        <v>2020</v>
      </c>
      <c r="F1096" s="3" t="s">
        <v>3217</v>
      </c>
      <c r="G1096" s="2" t="s">
        <v>12</v>
      </c>
      <c r="H1096" s="3" t="s">
        <v>3218</v>
      </c>
      <c r="I1096" s="15" t="s">
        <v>3204</v>
      </c>
    </row>
    <row r="1097" spans="1:9" ht="30" x14ac:dyDescent="0.25">
      <c r="A1097" s="2">
        <v>1094</v>
      </c>
      <c r="B1097" s="3" t="s">
        <v>3207</v>
      </c>
      <c r="C1097" s="3" t="s">
        <v>3219</v>
      </c>
      <c r="D1097" s="3" t="s">
        <v>3219</v>
      </c>
      <c r="E1097" s="2">
        <v>2020</v>
      </c>
      <c r="F1097" s="3" t="s">
        <v>3217</v>
      </c>
      <c r="G1097" s="2" t="s">
        <v>12</v>
      </c>
      <c r="H1097" s="3" t="s">
        <v>3218</v>
      </c>
      <c r="I1097" s="15" t="s">
        <v>3204</v>
      </c>
    </row>
    <row r="1098" spans="1:9" ht="45" x14ac:dyDescent="0.25">
      <c r="A1098" s="2">
        <v>1095</v>
      </c>
      <c r="B1098" s="3" t="s">
        <v>3207</v>
      </c>
      <c r="C1098" s="3" t="s">
        <v>3220</v>
      </c>
      <c r="D1098" s="3" t="s">
        <v>3220</v>
      </c>
      <c r="E1098" s="2">
        <v>2020</v>
      </c>
      <c r="F1098" s="3" t="s">
        <v>3221</v>
      </c>
      <c r="G1098" s="2" t="s">
        <v>12</v>
      </c>
      <c r="H1098" s="3" t="s">
        <v>3222</v>
      </c>
      <c r="I1098" s="15" t="s">
        <v>3204</v>
      </c>
    </row>
    <row r="1099" spans="1:9" ht="60" x14ac:dyDescent="0.25">
      <c r="A1099" s="2">
        <v>1096</v>
      </c>
      <c r="B1099" s="3" t="s">
        <v>3207</v>
      </c>
      <c r="C1099" s="3" t="s">
        <v>3223</v>
      </c>
      <c r="D1099" s="3" t="s">
        <v>3223</v>
      </c>
      <c r="E1099" s="2">
        <v>2020</v>
      </c>
      <c r="F1099" s="3" t="s">
        <v>3221</v>
      </c>
      <c r="G1099" s="2" t="s">
        <v>12</v>
      </c>
      <c r="H1099" s="3" t="s">
        <v>3222</v>
      </c>
      <c r="I1099" s="12" t="s">
        <v>3204</v>
      </c>
    </row>
    <row r="1100" spans="1:9" ht="45" x14ac:dyDescent="0.25">
      <c r="A1100" s="2">
        <v>1097</v>
      </c>
      <c r="B1100" s="3" t="s">
        <v>3207</v>
      </c>
      <c r="C1100" s="3" t="s">
        <v>3224</v>
      </c>
      <c r="D1100" s="3" t="s">
        <v>3224</v>
      </c>
      <c r="E1100" s="2">
        <v>2020</v>
      </c>
      <c r="F1100" s="3" t="s">
        <v>3221</v>
      </c>
      <c r="G1100" s="2" t="s">
        <v>12</v>
      </c>
      <c r="H1100" s="3" t="s">
        <v>3222</v>
      </c>
      <c r="I1100" s="15" t="s">
        <v>3204</v>
      </c>
    </row>
    <row r="1101" spans="1:9" ht="45" x14ac:dyDescent="0.25">
      <c r="A1101" s="2">
        <v>1098</v>
      </c>
      <c r="B1101" s="3" t="s">
        <v>3207</v>
      </c>
      <c r="C1101" s="3" t="s">
        <v>3225</v>
      </c>
      <c r="D1101" s="3" t="s">
        <v>3225</v>
      </c>
      <c r="E1101" s="2">
        <v>2022</v>
      </c>
      <c r="F1101" s="3">
        <v>9789354611674</v>
      </c>
      <c r="G1101" s="2" t="s">
        <v>12</v>
      </c>
      <c r="H1101" s="3" t="s">
        <v>3226</v>
      </c>
      <c r="I1101" s="15" t="s">
        <v>3204</v>
      </c>
    </row>
    <row r="1102" spans="1:9" ht="30" x14ac:dyDescent="0.25">
      <c r="A1102" s="2">
        <v>1099</v>
      </c>
      <c r="B1102" s="3" t="s">
        <v>3207</v>
      </c>
      <c r="C1102" s="3" t="s">
        <v>3227</v>
      </c>
      <c r="D1102" s="3" t="s">
        <v>3227</v>
      </c>
      <c r="E1102" s="2">
        <v>2022</v>
      </c>
      <c r="F1102" s="3">
        <v>9789393502049</v>
      </c>
      <c r="G1102" s="2" t="s">
        <v>12</v>
      </c>
      <c r="H1102" s="3" t="s">
        <v>3228</v>
      </c>
      <c r="I1102" s="15" t="s">
        <v>3204</v>
      </c>
    </row>
    <row r="1103" spans="1:9" ht="30" x14ac:dyDescent="0.25">
      <c r="A1103" s="2">
        <v>1100</v>
      </c>
      <c r="B1103" s="3" t="s">
        <v>3207</v>
      </c>
      <c r="C1103" s="3" t="s">
        <v>3229</v>
      </c>
      <c r="D1103" s="3" t="s">
        <v>3229</v>
      </c>
      <c r="E1103" s="2">
        <v>2023</v>
      </c>
      <c r="F1103" s="3">
        <v>9788119238460</v>
      </c>
      <c r="G1103" s="2" t="s">
        <v>12</v>
      </c>
      <c r="H1103" s="3" t="s">
        <v>3230</v>
      </c>
      <c r="I1103" s="12" t="s">
        <v>3204</v>
      </c>
    </row>
    <row r="1104" spans="1:9" ht="45" x14ac:dyDescent="0.25">
      <c r="A1104" s="2">
        <v>1101</v>
      </c>
      <c r="B1104" s="3" t="s">
        <v>3207</v>
      </c>
      <c r="C1104" s="3" t="s">
        <v>3225</v>
      </c>
      <c r="D1104" s="3" t="s">
        <v>3225</v>
      </c>
      <c r="E1104" s="2">
        <v>2022</v>
      </c>
      <c r="F1104" s="3">
        <v>9789354611674</v>
      </c>
      <c r="G1104" s="2" t="s">
        <v>12</v>
      </c>
      <c r="H1104" s="3" t="s">
        <v>3231</v>
      </c>
      <c r="I1104" s="15" t="s">
        <v>3204</v>
      </c>
    </row>
    <row r="1105" spans="1:9" ht="45" x14ac:dyDescent="0.25">
      <c r="A1105" s="2">
        <v>1102</v>
      </c>
      <c r="B1105" s="3" t="s">
        <v>3207</v>
      </c>
      <c r="C1105" s="3" t="s">
        <v>3232</v>
      </c>
      <c r="D1105" s="3" t="s">
        <v>3232</v>
      </c>
      <c r="E1105" s="2">
        <v>2023</v>
      </c>
      <c r="F1105" s="3" t="s">
        <v>3233</v>
      </c>
      <c r="G1105" s="2" t="s">
        <v>12</v>
      </c>
      <c r="H1105" s="3" t="s">
        <v>3234</v>
      </c>
      <c r="I1105" s="16" t="s">
        <v>3235</v>
      </c>
    </row>
    <row r="1106" spans="1:9" ht="30" x14ac:dyDescent="0.25">
      <c r="A1106" s="2">
        <v>1103</v>
      </c>
      <c r="B1106" s="3" t="s">
        <v>3207</v>
      </c>
      <c r="C1106" s="3" t="s">
        <v>3236</v>
      </c>
      <c r="D1106" s="3" t="s">
        <v>3236</v>
      </c>
      <c r="E1106" s="2">
        <v>2022</v>
      </c>
      <c r="F1106" s="3">
        <v>9789393502049</v>
      </c>
      <c r="G1106" s="2" t="s">
        <v>12</v>
      </c>
      <c r="H1106" s="3" t="s">
        <v>3228</v>
      </c>
      <c r="I1106" s="12" t="s">
        <v>3204</v>
      </c>
    </row>
    <row r="1107" spans="1:9" ht="30" x14ac:dyDescent="0.25">
      <c r="A1107" s="2">
        <v>1104</v>
      </c>
      <c r="B1107" s="3" t="s">
        <v>3207</v>
      </c>
      <c r="C1107" s="3" t="s">
        <v>3237</v>
      </c>
      <c r="D1107" s="3" t="s">
        <v>3237</v>
      </c>
      <c r="E1107" s="2">
        <v>2023</v>
      </c>
      <c r="F1107" s="3">
        <v>9781774910740</v>
      </c>
      <c r="G1107" s="2" t="s">
        <v>12</v>
      </c>
      <c r="H1107" s="3" t="s">
        <v>3209</v>
      </c>
      <c r="I1107" s="15" t="s">
        <v>3204</v>
      </c>
    </row>
    <row r="1108" spans="1:9" ht="30" x14ac:dyDescent="0.25">
      <c r="A1108" s="2">
        <v>1105</v>
      </c>
      <c r="B1108" s="3" t="s">
        <v>3207</v>
      </c>
      <c r="C1108" s="3" t="s">
        <v>3238</v>
      </c>
      <c r="D1108" s="3" t="s">
        <v>3238</v>
      </c>
      <c r="E1108" s="2">
        <v>2023</v>
      </c>
      <c r="F1108" s="3">
        <v>9781774910740</v>
      </c>
      <c r="G1108" s="2" t="s">
        <v>12</v>
      </c>
      <c r="H1108" s="3" t="s">
        <v>3209</v>
      </c>
      <c r="I1108" s="12" t="s">
        <v>3204</v>
      </c>
    </row>
    <row r="1109" spans="1:9" ht="45" x14ac:dyDescent="0.25">
      <c r="A1109" s="2">
        <v>1106</v>
      </c>
      <c r="B1109" s="3" t="s">
        <v>3207</v>
      </c>
      <c r="C1109" s="3" t="s">
        <v>3239</v>
      </c>
      <c r="D1109" s="3" t="s">
        <v>3239</v>
      </c>
      <c r="E1109" s="2">
        <v>2023</v>
      </c>
      <c r="F1109" s="3">
        <v>9781774911143</v>
      </c>
      <c r="G1109" s="2" t="s">
        <v>12</v>
      </c>
      <c r="H1109" s="3" t="s">
        <v>3209</v>
      </c>
      <c r="I1109" s="15" t="s">
        <v>3204</v>
      </c>
    </row>
    <row r="1110" spans="1:9" ht="45" x14ac:dyDescent="0.25">
      <c r="A1110" s="2">
        <v>1107</v>
      </c>
      <c r="B1110" s="3" t="s">
        <v>3207</v>
      </c>
      <c r="C1110" s="3" t="s">
        <v>3240</v>
      </c>
      <c r="D1110" s="3" t="s">
        <v>3240</v>
      </c>
      <c r="E1110" s="2">
        <v>2023</v>
      </c>
      <c r="F1110" s="3">
        <v>9781774913482</v>
      </c>
      <c r="G1110" s="2" t="s">
        <v>12</v>
      </c>
      <c r="H1110" s="3" t="s">
        <v>3209</v>
      </c>
      <c r="I1110" s="15" t="s">
        <v>3204</v>
      </c>
    </row>
    <row r="1111" spans="1:9" ht="60" x14ac:dyDescent="0.25">
      <c r="A1111" s="2">
        <v>1108</v>
      </c>
      <c r="B1111" s="3" t="s">
        <v>3207</v>
      </c>
      <c r="C1111" s="3" t="s">
        <v>3241</v>
      </c>
      <c r="D1111" s="3" t="s">
        <v>3241</v>
      </c>
      <c r="E1111" s="2">
        <v>2023</v>
      </c>
      <c r="F1111" s="3">
        <v>9781774913482</v>
      </c>
      <c r="G1111" s="2" t="s">
        <v>12</v>
      </c>
      <c r="H1111" s="3" t="s">
        <v>3209</v>
      </c>
      <c r="I1111" s="15" t="s">
        <v>3204</v>
      </c>
    </row>
    <row r="1112" spans="1:9" ht="45" x14ac:dyDescent="0.25">
      <c r="A1112" s="2">
        <v>1109</v>
      </c>
      <c r="B1112" s="3" t="s">
        <v>3207</v>
      </c>
      <c r="C1112" s="3" t="s">
        <v>3242</v>
      </c>
      <c r="D1112" s="3" t="s">
        <v>3242</v>
      </c>
      <c r="E1112" s="2">
        <v>2023</v>
      </c>
      <c r="F1112" s="3" t="s">
        <v>3243</v>
      </c>
      <c r="G1112" s="2" t="s">
        <v>12</v>
      </c>
      <c r="H1112" s="3" t="s">
        <v>3244</v>
      </c>
      <c r="I1112" s="15" t="s">
        <v>3204</v>
      </c>
    </row>
    <row r="1113" spans="1:9" ht="45" x14ac:dyDescent="0.25">
      <c r="A1113" s="2">
        <v>1110</v>
      </c>
      <c r="B1113" s="3" t="s">
        <v>3207</v>
      </c>
      <c r="C1113" s="3" t="s">
        <v>3245</v>
      </c>
      <c r="D1113" s="3" t="s">
        <v>3245</v>
      </c>
      <c r="E1113" s="2">
        <v>2023</v>
      </c>
      <c r="F1113" s="3">
        <v>9780443191435</v>
      </c>
      <c r="G1113" s="2" t="s">
        <v>12</v>
      </c>
      <c r="H1113" s="3" t="s">
        <v>3244</v>
      </c>
      <c r="I1113" s="16" t="s">
        <v>3246</v>
      </c>
    </row>
    <row r="1114" spans="1:9" ht="30" x14ac:dyDescent="0.25">
      <c r="A1114" s="2">
        <v>1111</v>
      </c>
      <c r="B1114" s="3" t="s">
        <v>3207</v>
      </c>
      <c r="C1114" s="3" t="s">
        <v>3247</v>
      </c>
      <c r="D1114" s="3" t="s">
        <v>3247</v>
      </c>
      <c r="E1114" s="2">
        <v>2023</v>
      </c>
      <c r="F1114" s="3">
        <v>9780443191435</v>
      </c>
      <c r="G1114" s="2" t="s">
        <v>12</v>
      </c>
      <c r="H1114" s="3" t="s">
        <v>3244</v>
      </c>
      <c r="I1114" s="16" t="s">
        <v>3248</v>
      </c>
    </row>
    <row r="1115" spans="1:9" ht="60" x14ac:dyDescent="0.25">
      <c r="A1115" s="2">
        <v>1112</v>
      </c>
      <c r="B1115" s="3" t="s">
        <v>3207</v>
      </c>
      <c r="C1115" s="3" t="s">
        <v>3249</v>
      </c>
      <c r="D1115" s="3" t="s">
        <v>3249</v>
      </c>
      <c r="E1115" s="2">
        <v>2023</v>
      </c>
      <c r="F1115" s="3">
        <v>9780443191435</v>
      </c>
      <c r="G1115" s="2" t="s">
        <v>12</v>
      </c>
      <c r="H1115" s="3" t="s">
        <v>3244</v>
      </c>
      <c r="I1115" s="16" t="s">
        <v>3250</v>
      </c>
    </row>
    <row r="1116" spans="1:9" ht="45" x14ac:dyDescent="0.25">
      <c r="A1116" s="2">
        <v>1113</v>
      </c>
      <c r="B1116" s="3" t="s">
        <v>3207</v>
      </c>
      <c r="C1116" s="3" t="s">
        <v>3251</v>
      </c>
      <c r="D1116" s="3" t="s">
        <v>3251</v>
      </c>
      <c r="E1116" s="2">
        <v>2023</v>
      </c>
      <c r="F1116" s="3">
        <v>9780443191435</v>
      </c>
      <c r="G1116" s="2" t="s">
        <v>12</v>
      </c>
      <c r="H1116" s="3" t="s">
        <v>3244</v>
      </c>
      <c r="I1116" s="15" t="s">
        <v>3204</v>
      </c>
    </row>
    <row r="1117" spans="1:9" ht="105" x14ac:dyDescent="0.25">
      <c r="A1117" s="2">
        <v>1114</v>
      </c>
      <c r="B1117" s="3" t="s">
        <v>3252</v>
      </c>
      <c r="C1117" s="3" t="s">
        <v>3253</v>
      </c>
      <c r="D1117" s="3" t="s">
        <v>3253</v>
      </c>
      <c r="E1117" s="2">
        <v>2018</v>
      </c>
      <c r="F1117" s="3" t="s">
        <v>3254</v>
      </c>
      <c r="G1117" s="2" t="s">
        <v>12</v>
      </c>
      <c r="H1117" s="3" t="s">
        <v>3255</v>
      </c>
      <c r="I1117" s="16" t="s">
        <v>3256</v>
      </c>
    </row>
    <row r="1118" spans="1:9" ht="135" x14ac:dyDescent="0.25">
      <c r="A1118" s="2">
        <v>1115</v>
      </c>
      <c r="B1118" s="3" t="s">
        <v>3257</v>
      </c>
      <c r="C1118" s="3" t="s">
        <v>3258</v>
      </c>
      <c r="D1118" s="3" t="s">
        <v>3258</v>
      </c>
      <c r="E1118" s="2">
        <v>2021</v>
      </c>
      <c r="F1118" s="3" t="s">
        <v>3259</v>
      </c>
      <c r="G1118" s="2" t="s">
        <v>12</v>
      </c>
      <c r="H1118" s="3" t="s">
        <v>3260</v>
      </c>
      <c r="I1118" s="16" t="s">
        <v>3261</v>
      </c>
    </row>
    <row r="1119" spans="1:9" ht="105" x14ac:dyDescent="0.25">
      <c r="A1119" s="2">
        <v>1116</v>
      </c>
      <c r="B1119" s="3" t="s">
        <v>3257</v>
      </c>
      <c r="C1119" s="3" t="s">
        <v>3262</v>
      </c>
      <c r="D1119" s="3" t="s">
        <v>3262</v>
      </c>
      <c r="E1119" s="2">
        <v>2021</v>
      </c>
      <c r="F1119" s="3" t="s">
        <v>3259</v>
      </c>
      <c r="G1119" s="2" t="s">
        <v>12</v>
      </c>
      <c r="H1119" s="3" t="s">
        <v>3260</v>
      </c>
      <c r="I1119" s="12" t="s">
        <v>3204</v>
      </c>
    </row>
    <row r="1120" spans="1:9" ht="60" x14ac:dyDescent="0.25">
      <c r="A1120" s="2">
        <v>1117</v>
      </c>
      <c r="B1120" s="3" t="s">
        <v>3263</v>
      </c>
      <c r="C1120" s="3" t="s">
        <v>3264</v>
      </c>
      <c r="D1120" s="3" t="s">
        <v>3264</v>
      </c>
      <c r="E1120" s="2">
        <v>2022</v>
      </c>
      <c r="F1120" s="3" t="s">
        <v>3265</v>
      </c>
      <c r="G1120" s="2" t="s">
        <v>12</v>
      </c>
      <c r="H1120" s="3" t="s">
        <v>3266</v>
      </c>
      <c r="I1120" s="16" t="s">
        <v>3267</v>
      </c>
    </row>
    <row r="1121" spans="1:9" ht="150" x14ac:dyDescent="0.25">
      <c r="A1121" s="2">
        <v>1118</v>
      </c>
      <c r="B1121" s="3" t="s">
        <v>3257</v>
      </c>
      <c r="C1121" s="3" t="s">
        <v>3268</v>
      </c>
      <c r="D1121" s="3" t="s">
        <v>3268</v>
      </c>
      <c r="E1121" s="2">
        <v>2022</v>
      </c>
      <c r="F1121" s="3" t="s">
        <v>3269</v>
      </c>
      <c r="G1121" s="2" t="s">
        <v>12</v>
      </c>
      <c r="H1121" s="3" t="s">
        <v>3270</v>
      </c>
      <c r="I1121" s="16" t="s">
        <v>3271</v>
      </c>
    </row>
    <row r="1122" spans="1:9" ht="105" x14ac:dyDescent="0.25">
      <c r="A1122" s="2">
        <v>1119</v>
      </c>
      <c r="B1122" s="3" t="s">
        <v>3257</v>
      </c>
      <c r="C1122" s="3" t="s">
        <v>3272</v>
      </c>
      <c r="D1122" s="3" t="s">
        <v>3272</v>
      </c>
      <c r="E1122" s="2">
        <v>2021</v>
      </c>
      <c r="F1122" s="3" t="s">
        <v>3273</v>
      </c>
      <c r="G1122" s="2" t="s">
        <v>12</v>
      </c>
      <c r="H1122" s="3" t="s">
        <v>3274</v>
      </c>
      <c r="I1122" s="12" t="s">
        <v>3204</v>
      </c>
    </row>
    <row r="1123" spans="1:9" ht="105" x14ac:dyDescent="0.25">
      <c r="A1123" s="2">
        <v>1120</v>
      </c>
      <c r="B1123" s="3" t="s">
        <v>3257</v>
      </c>
      <c r="C1123" s="3" t="s">
        <v>3275</v>
      </c>
      <c r="D1123" s="3" t="s">
        <v>3275</v>
      </c>
      <c r="E1123" s="2">
        <v>2021</v>
      </c>
      <c r="F1123" s="3" t="s">
        <v>3273</v>
      </c>
      <c r="G1123" s="2" t="s">
        <v>12</v>
      </c>
      <c r="H1123" s="3" t="s">
        <v>3276</v>
      </c>
      <c r="I1123" s="12" t="s">
        <v>3204</v>
      </c>
    </row>
    <row r="1124" spans="1:9" ht="45" x14ac:dyDescent="0.25">
      <c r="A1124" s="2">
        <v>1121</v>
      </c>
      <c r="B1124" s="3" t="s">
        <v>3277</v>
      </c>
      <c r="C1124" s="3" t="s">
        <v>3278</v>
      </c>
      <c r="D1124" s="3" t="s">
        <v>3278</v>
      </c>
      <c r="E1124" s="2">
        <v>2021</v>
      </c>
      <c r="F1124" s="3">
        <v>9780367276942</v>
      </c>
      <c r="G1124" s="2" t="s">
        <v>12</v>
      </c>
      <c r="H1124" s="3" t="s">
        <v>3279</v>
      </c>
      <c r="I1124" s="15" t="s">
        <v>3204</v>
      </c>
    </row>
    <row r="1125" spans="1:9" ht="30" x14ac:dyDescent="0.25">
      <c r="A1125" s="2">
        <v>1122</v>
      </c>
      <c r="B1125" s="3" t="s">
        <v>3277</v>
      </c>
      <c r="C1125" s="3" t="s">
        <v>3280</v>
      </c>
      <c r="D1125" s="3" t="s">
        <v>3280</v>
      </c>
      <c r="E1125" s="2">
        <v>2020</v>
      </c>
      <c r="F1125" s="3" t="s">
        <v>3281</v>
      </c>
      <c r="G1125" s="2" t="s">
        <v>12</v>
      </c>
      <c r="H1125" s="3" t="s">
        <v>3282</v>
      </c>
      <c r="I1125" s="15" t="s">
        <v>3204</v>
      </c>
    </row>
    <row r="1126" spans="1:9" ht="45" x14ac:dyDescent="0.25">
      <c r="A1126" s="2">
        <v>1123</v>
      </c>
      <c r="B1126" s="3" t="s">
        <v>3283</v>
      </c>
      <c r="C1126" s="3" t="s">
        <v>3284</v>
      </c>
      <c r="D1126" s="3" t="s">
        <v>3284</v>
      </c>
      <c r="E1126" s="2">
        <v>2022</v>
      </c>
      <c r="F1126" s="3" t="s">
        <v>3285</v>
      </c>
      <c r="G1126" s="2" t="s">
        <v>12</v>
      </c>
      <c r="H1126" s="3" t="s">
        <v>3286</v>
      </c>
      <c r="I1126" s="15" t="s">
        <v>3204</v>
      </c>
    </row>
    <row r="1127" spans="1:9" ht="45" x14ac:dyDescent="0.25">
      <c r="A1127" s="2">
        <v>1124</v>
      </c>
      <c r="B1127" s="3" t="s">
        <v>3287</v>
      </c>
      <c r="C1127" s="3" t="s">
        <v>3288</v>
      </c>
      <c r="D1127" s="3" t="s">
        <v>3288</v>
      </c>
      <c r="E1127" s="2">
        <v>2022</v>
      </c>
      <c r="F1127" s="3" t="s">
        <v>3289</v>
      </c>
      <c r="G1127" s="2" t="s">
        <v>12</v>
      </c>
      <c r="H1127" s="3" t="s">
        <v>3290</v>
      </c>
      <c r="I1127" s="15" t="s">
        <v>3204</v>
      </c>
    </row>
    <row r="1128" spans="1:9" ht="45" x14ac:dyDescent="0.25">
      <c r="A1128" s="2">
        <v>1125</v>
      </c>
      <c r="B1128" s="3" t="s">
        <v>3277</v>
      </c>
      <c r="C1128" s="3" t="s">
        <v>3291</v>
      </c>
      <c r="D1128" s="3" t="s">
        <v>3291</v>
      </c>
      <c r="E1128" s="2">
        <v>2022</v>
      </c>
      <c r="F1128" s="3" t="s">
        <v>3292</v>
      </c>
      <c r="G1128" s="2" t="s">
        <v>12</v>
      </c>
      <c r="H1128" s="3" t="s">
        <v>3293</v>
      </c>
      <c r="I1128" s="15" t="s">
        <v>3204</v>
      </c>
    </row>
    <row r="1129" spans="1:9" ht="60" x14ac:dyDescent="0.25">
      <c r="A1129" s="2">
        <v>1126</v>
      </c>
      <c r="B1129" s="3" t="s">
        <v>3294</v>
      </c>
      <c r="C1129" s="3" t="s">
        <v>3295</v>
      </c>
      <c r="D1129" s="3" t="s">
        <v>3295</v>
      </c>
      <c r="E1129" s="2">
        <v>2019</v>
      </c>
      <c r="F1129" s="3" t="s">
        <v>3296</v>
      </c>
      <c r="G1129" s="2" t="s">
        <v>12</v>
      </c>
      <c r="H1129" s="3" t="s">
        <v>3297</v>
      </c>
      <c r="I1129" s="12" t="s">
        <v>3204</v>
      </c>
    </row>
    <row r="1130" spans="1:9" ht="60" x14ac:dyDescent="0.25">
      <c r="A1130" s="2">
        <v>1127</v>
      </c>
      <c r="B1130" s="3" t="s">
        <v>3294</v>
      </c>
      <c r="C1130" s="3" t="s">
        <v>3295</v>
      </c>
      <c r="D1130" s="3" t="s">
        <v>3295</v>
      </c>
      <c r="E1130" s="2">
        <v>2019</v>
      </c>
      <c r="F1130" s="3" t="s">
        <v>3296</v>
      </c>
      <c r="G1130" s="2" t="s">
        <v>12</v>
      </c>
      <c r="H1130" s="3" t="s">
        <v>3297</v>
      </c>
      <c r="I1130" s="12" t="s">
        <v>3204</v>
      </c>
    </row>
    <row r="1131" spans="1:9" ht="60" x14ac:dyDescent="0.25">
      <c r="A1131" s="2">
        <v>1128</v>
      </c>
      <c r="B1131" s="3" t="s">
        <v>3294</v>
      </c>
      <c r="C1131" s="3" t="s">
        <v>3295</v>
      </c>
      <c r="D1131" s="3" t="s">
        <v>3295</v>
      </c>
      <c r="E1131" s="2">
        <v>2019</v>
      </c>
      <c r="F1131" s="3" t="s">
        <v>3296</v>
      </c>
      <c r="G1131" s="2" t="s">
        <v>12</v>
      </c>
      <c r="H1131" s="3" t="s">
        <v>3297</v>
      </c>
      <c r="I1131" s="12" t="s">
        <v>3204</v>
      </c>
    </row>
    <row r="1132" spans="1:9" ht="60" x14ac:dyDescent="0.25">
      <c r="A1132" s="2">
        <v>1129</v>
      </c>
      <c r="B1132" s="3" t="s">
        <v>3294</v>
      </c>
      <c r="C1132" s="3" t="s">
        <v>3295</v>
      </c>
      <c r="D1132" s="3" t="s">
        <v>3295</v>
      </c>
      <c r="E1132" s="2">
        <v>2019</v>
      </c>
      <c r="F1132" s="3" t="s">
        <v>3296</v>
      </c>
      <c r="G1132" s="2" t="s">
        <v>12</v>
      </c>
      <c r="H1132" s="3" t="s">
        <v>3297</v>
      </c>
      <c r="I1132" s="12" t="s">
        <v>3204</v>
      </c>
    </row>
    <row r="1133" spans="1:9" ht="60" x14ac:dyDescent="0.25">
      <c r="A1133" s="2">
        <v>1130</v>
      </c>
      <c r="B1133" s="3" t="s">
        <v>3294</v>
      </c>
      <c r="C1133" s="3" t="s">
        <v>3295</v>
      </c>
      <c r="D1133" s="3" t="s">
        <v>3295</v>
      </c>
      <c r="E1133" s="2">
        <v>2019</v>
      </c>
      <c r="F1133" s="3" t="s">
        <v>3296</v>
      </c>
      <c r="G1133" s="2" t="s">
        <v>12</v>
      </c>
      <c r="H1133" s="3" t="s">
        <v>3297</v>
      </c>
      <c r="I1133" s="12" t="s">
        <v>3204</v>
      </c>
    </row>
    <row r="1134" spans="1:9" ht="60" x14ac:dyDescent="0.25">
      <c r="A1134" s="2">
        <v>1131</v>
      </c>
      <c r="B1134" s="3" t="s">
        <v>3294</v>
      </c>
      <c r="C1134" s="3" t="s">
        <v>3295</v>
      </c>
      <c r="D1134" s="3" t="s">
        <v>3295</v>
      </c>
      <c r="E1134" s="2">
        <v>2019</v>
      </c>
      <c r="F1134" s="3" t="s">
        <v>3296</v>
      </c>
      <c r="G1134" s="2" t="s">
        <v>12</v>
      </c>
      <c r="H1134" s="3" t="s">
        <v>3297</v>
      </c>
      <c r="I1134" s="12" t="s">
        <v>3204</v>
      </c>
    </row>
    <row r="1135" spans="1:9" ht="60" x14ac:dyDescent="0.25">
      <c r="A1135" s="2">
        <v>1132</v>
      </c>
      <c r="B1135" s="3" t="s">
        <v>3294</v>
      </c>
      <c r="C1135" s="3" t="s">
        <v>3295</v>
      </c>
      <c r="D1135" s="3" t="s">
        <v>3295</v>
      </c>
      <c r="E1135" s="2">
        <v>2019</v>
      </c>
      <c r="F1135" s="3" t="s">
        <v>3296</v>
      </c>
      <c r="G1135" s="2" t="s">
        <v>12</v>
      </c>
      <c r="H1135" s="3" t="s">
        <v>3297</v>
      </c>
      <c r="I1135" s="12" t="s">
        <v>3204</v>
      </c>
    </row>
    <row r="1136" spans="1:9" ht="60" x14ac:dyDescent="0.25">
      <c r="A1136" s="2">
        <v>1133</v>
      </c>
      <c r="B1136" s="3" t="s">
        <v>3294</v>
      </c>
      <c r="C1136" s="3" t="s">
        <v>3295</v>
      </c>
      <c r="D1136" s="3" t="s">
        <v>3295</v>
      </c>
      <c r="E1136" s="2">
        <v>2019</v>
      </c>
      <c r="F1136" s="3" t="s">
        <v>3296</v>
      </c>
      <c r="G1136" s="2" t="s">
        <v>12</v>
      </c>
      <c r="H1136" s="3" t="s">
        <v>3297</v>
      </c>
      <c r="I1136" s="12" t="s">
        <v>3204</v>
      </c>
    </row>
    <row r="1137" spans="1:9" ht="60" x14ac:dyDescent="0.25">
      <c r="A1137" s="2">
        <v>1134</v>
      </c>
      <c r="B1137" s="3" t="s">
        <v>3294</v>
      </c>
      <c r="C1137" s="3" t="s">
        <v>3298</v>
      </c>
      <c r="D1137" s="3" t="s">
        <v>3298</v>
      </c>
      <c r="E1137" s="2">
        <v>2020</v>
      </c>
      <c r="F1137" s="3" t="s">
        <v>3299</v>
      </c>
      <c r="G1137" s="2" t="s">
        <v>12</v>
      </c>
      <c r="H1137" s="3" t="s">
        <v>3297</v>
      </c>
      <c r="I1137" s="12" t="s">
        <v>3204</v>
      </c>
    </row>
    <row r="1138" spans="1:9" ht="60" x14ac:dyDescent="0.25">
      <c r="A1138" s="2">
        <v>1135</v>
      </c>
      <c r="B1138" s="3" t="s">
        <v>3294</v>
      </c>
      <c r="C1138" s="3" t="s">
        <v>3298</v>
      </c>
      <c r="D1138" s="3" t="s">
        <v>3298</v>
      </c>
      <c r="E1138" s="2">
        <v>2020</v>
      </c>
      <c r="F1138" s="3" t="s">
        <v>3299</v>
      </c>
      <c r="G1138" s="2" t="s">
        <v>12</v>
      </c>
      <c r="H1138" s="3" t="s">
        <v>3297</v>
      </c>
      <c r="I1138" s="12" t="s">
        <v>3204</v>
      </c>
    </row>
    <row r="1139" spans="1:9" ht="60" x14ac:dyDescent="0.25">
      <c r="A1139" s="2">
        <v>1136</v>
      </c>
      <c r="B1139" s="3" t="s">
        <v>3294</v>
      </c>
      <c r="C1139" s="3" t="s">
        <v>3298</v>
      </c>
      <c r="D1139" s="3" t="s">
        <v>3298</v>
      </c>
      <c r="E1139" s="2">
        <v>2020</v>
      </c>
      <c r="F1139" s="3" t="s">
        <v>3299</v>
      </c>
      <c r="G1139" s="2" t="s">
        <v>12</v>
      </c>
      <c r="H1139" s="3" t="s">
        <v>3297</v>
      </c>
      <c r="I1139" s="12" t="s">
        <v>3204</v>
      </c>
    </row>
    <row r="1140" spans="1:9" ht="60" x14ac:dyDescent="0.25">
      <c r="A1140" s="2">
        <v>1137</v>
      </c>
      <c r="B1140" s="3" t="s">
        <v>3294</v>
      </c>
      <c r="C1140" s="3" t="s">
        <v>3298</v>
      </c>
      <c r="D1140" s="3" t="s">
        <v>3298</v>
      </c>
      <c r="E1140" s="2">
        <v>2020</v>
      </c>
      <c r="F1140" s="3" t="s">
        <v>3299</v>
      </c>
      <c r="G1140" s="2" t="s">
        <v>12</v>
      </c>
      <c r="H1140" s="3" t="s">
        <v>3297</v>
      </c>
      <c r="I1140" s="12" t="s">
        <v>3204</v>
      </c>
    </row>
    <row r="1141" spans="1:9" ht="60" x14ac:dyDescent="0.25">
      <c r="A1141" s="2">
        <v>1138</v>
      </c>
      <c r="B1141" s="3" t="s">
        <v>3294</v>
      </c>
      <c r="C1141" s="3" t="s">
        <v>3298</v>
      </c>
      <c r="D1141" s="3" t="s">
        <v>3298</v>
      </c>
      <c r="E1141" s="2">
        <v>2020</v>
      </c>
      <c r="F1141" s="3" t="s">
        <v>3299</v>
      </c>
      <c r="G1141" s="2" t="s">
        <v>12</v>
      </c>
      <c r="H1141" s="3" t="s">
        <v>3297</v>
      </c>
      <c r="I1141" s="12" t="s">
        <v>3204</v>
      </c>
    </row>
    <row r="1142" spans="1:9" ht="60" x14ac:dyDescent="0.25">
      <c r="A1142" s="2">
        <v>1139</v>
      </c>
      <c r="B1142" s="3" t="s">
        <v>3294</v>
      </c>
      <c r="C1142" s="3" t="s">
        <v>3298</v>
      </c>
      <c r="D1142" s="3" t="s">
        <v>3298</v>
      </c>
      <c r="E1142" s="2">
        <v>2020</v>
      </c>
      <c r="F1142" s="3" t="s">
        <v>3299</v>
      </c>
      <c r="G1142" s="2" t="s">
        <v>12</v>
      </c>
      <c r="H1142" s="3" t="s">
        <v>3297</v>
      </c>
      <c r="I1142" s="12" t="s">
        <v>3204</v>
      </c>
    </row>
    <row r="1143" spans="1:9" ht="60" x14ac:dyDescent="0.25">
      <c r="A1143" s="2">
        <v>1140</v>
      </c>
      <c r="B1143" s="3" t="s">
        <v>3294</v>
      </c>
      <c r="C1143" s="3" t="s">
        <v>3298</v>
      </c>
      <c r="D1143" s="3" t="s">
        <v>3298</v>
      </c>
      <c r="E1143" s="2">
        <v>2020</v>
      </c>
      <c r="F1143" s="3" t="s">
        <v>3299</v>
      </c>
      <c r="G1143" s="2" t="s">
        <v>12</v>
      </c>
      <c r="H1143" s="3" t="s">
        <v>3297</v>
      </c>
      <c r="I1143" s="12" t="s">
        <v>3204</v>
      </c>
    </row>
    <row r="1144" spans="1:9" ht="60" x14ac:dyDescent="0.25">
      <c r="A1144" s="2">
        <v>1141</v>
      </c>
      <c r="B1144" s="3" t="s">
        <v>3294</v>
      </c>
      <c r="C1144" s="3" t="s">
        <v>3298</v>
      </c>
      <c r="D1144" s="3" t="s">
        <v>3298</v>
      </c>
      <c r="E1144" s="2">
        <v>2020</v>
      </c>
      <c r="F1144" s="3" t="s">
        <v>3299</v>
      </c>
      <c r="G1144" s="2" t="s">
        <v>12</v>
      </c>
      <c r="H1144" s="3" t="s">
        <v>3297</v>
      </c>
      <c r="I1144" s="12" t="s">
        <v>3204</v>
      </c>
    </row>
    <row r="1145" spans="1:9" ht="45" x14ac:dyDescent="0.25">
      <c r="A1145" s="2">
        <v>1142</v>
      </c>
      <c r="B1145" s="3" t="s">
        <v>3300</v>
      </c>
      <c r="C1145" s="3" t="s">
        <v>3301</v>
      </c>
      <c r="D1145" s="3" t="s">
        <v>3301</v>
      </c>
      <c r="E1145" s="2">
        <v>2021</v>
      </c>
      <c r="F1145" s="3" t="s">
        <v>3302</v>
      </c>
      <c r="G1145" s="2" t="s">
        <v>12</v>
      </c>
      <c r="H1145" s="3" t="s">
        <v>3303</v>
      </c>
      <c r="I1145" s="12" t="s">
        <v>3204</v>
      </c>
    </row>
    <row r="1146" spans="1:9" ht="60" x14ac:dyDescent="0.25">
      <c r="A1146" s="2">
        <v>1143</v>
      </c>
      <c r="B1146" s="3" t="s">
        <v>3300</v>
      </c>
      <c r="C1146" s="3" t="s">
        <v>3304</v>
      </c>
      <c r="D1146" s="3" t="s">
        <v>3304</v>
      </c>
      <c r="E1146" s="2">
        <v>2021</v>
      </c>
      <c r="F1146" s="3" t="s">
        <v>3305</v>
      </c>
      <c r="G1146" s="2" t="s">
        <v>12</v>
      </c>
      <c r="H1146" s="3" t="s">
        <v>3306</v>
      </c>
      <c r="I1146" s="12" t="s">
        <v>3204</v>
      </c>
    </row>
    <row r="1147" spans="1:9" ht="45" x14ac:dyDescent="0.25">
      <c r="A1147" s="2">
        <v>1144</v>
      </c>
      <c r="B1147" s="3" t="s">
        <v>3300</v>
      </c>
      <c r="C1147" s="3" t="s">
        <v>3307</v>
      </c>
      <c r="D1147" s="3" t="s">
        <v>3307</v>
      </c>
      <c r="E1147" s="2">
        <v>2021</v>
      </c>
      <c r="F1147" s="3" t="s">
        <v>3308</v>
      </c>
      <c r="G1147" s="2" t="s">
        <v>12</v>
      </c>
      <c r="H1147" s="3" t="s">
        <v>3309</v>
      </c>
      <c r="I1147" s="12" t="s">
        <v>3204</v>
      </c>
    </row>
    <row r="1148" spans="1:9" ht="30" x14ac:dyDescent="0.25">
      <c r="A1148" s="2">
        <v>1145</v>
      </c>
      <c r="B1148" s="3" t="s">
        <v>3310</v>
      </c>
      <c r="C1148" s="3" t="s">
        <v>3311</v>
      </c>
      <c r="D1148" s="3" t="s">
        <v>3311</v>
      </c>
      <c r="E1148" s="2">
        <v>2021</v>
      </c>
      <c r="F1148" s="3" t="s">
        <v>3312</v>
      </c>
      <c r="G1148" s="2" t="s">
        <v>12</v>
      </c>
      <c r="H1148" s="3" t="s">
        <v>3313</v>
      </c>
      <c r="I1148" s="15" t="s">
        <v>3204</v>
      </c>
    </row>
    <row r="1149" spans="1:9" ht="30" x14ac:dyDescent="0.25">
      <c r="A1149" s="2">
        <v>1146</v>
      </c>
      <c r="B1149" s="3" t="s">
        <v>3310</v>
      </c>
      <c r="C1149" s="3" t="s">
        <v>3314</v>
      </c>
      <c r="D1149" s="3" t="s">
        <v>3314</v>
      </c>
      <c r="E1149" s="2">
        <v>2022</v>
      </c>
      <c r="F1149" s="3" t="s">
        <v>3315</v>
      </c>
      <c r="G1149" s="2" t="s">
        <v>12</v>
      </c>
      <c r="H1149" s="3" t="s">
        <v>3313</v>
      </c>
      <c r="I1149" s="15" t="s">
        <v>3204</v>
      </c>
    </row>
    <row r="1150" spans="1:9" ht="30" x14ac:dyDescent="0.25">
      <c r="A1150" s="2">
        <v>1147</v>
      </c>
      <c r="B1150" s="3" t="s">
        <v>3316</v>
      </c>
      <c r="C1150" s="3" t="s">
        <v>3317</v>
      </c>
      <c r="D1150" s="3" t="s">
        <v>3317</v>
      </c>
      <c r="E1150" s="2">
        <v>2019</v>
      </c>
      <c r="F1150" s="3" t="s">
        <v>3318</v>
      </c>
      <c r="G1150" s="2" t="s">
        <v>12</v>
      </c>
      <c r="H1150" s="3" t="s">
        <v>3319</v>
      </c>
      <c r="I1150" s="12" t="s">
        <v>3204</v>
      </c>
    </row>
    <row r="1151" spans="1:9" ht="30" x14ac:dyDescent="0.25">
      <c r="A1151" s="2">
        <v>1148</v>
      </c>
      <c r="B1151" s="3" t="s">
        <v>3316</v>
      </c>
      <c r="C1151" s="3" t="s">
        <v>3317</v>
      </c>
      <c r="D1151" s="3" t="s">
        <v>3317</v>
      </c>
      <c r="E1151" s="2">
        <v>2018</v>
      </c>
      <c r="F1151" s="3" t="s">
        <v>3320</v>
      </c>
      <c r="G1151" s="2" t="s">
        <v>12</v>
      </c>
      <c r="H1151" s="3" t="s">
        <v>3319</v>
      </c>
      <c r="I1151" s="12" t="s">
        <v>3204</v>
      </c>
    </row>
    <row r="1152" spans="1:9" ht="30" x14ac:dyDescent="0.25">
      <c r="A1152" s="2">
        <v>1149</v>
      </c>
      <c r="B1152" s="3" t="s">
        <v>3316</v>
      </c>
      <c r="C1152" s="3" t="s">
        <v>3321</v>
      </c>
      <c r="D1152" s="3" t="s">
        <v>3321</v>
      </c>
      <c r="E1152" s="2">
        <v>2019</v>
      </c>
      <c r="F1152" s="3" t="s">
        <v>3322</v>
      </c>
      <c r="G1152" s="2" t="s">
        <v>12</v>
      </c>
      <c r="H1152" s="3" t="s">
        <v>72</v>
      </c>
      <c r="I1152" s="12" t="s">
        <v>3204</v>
      </c>
    </row>
    <row r="1153" spans="1:9" ht="45" x14ac:dyDescent="0.25">
      <c r="A1153" s="2">
        <v>1150</v>
      </c>
      <c r="B1153" s="3" t="s">
        <v>3316</v>
      </c>
      <c r="C1153" s="3" t="s">
        <v>3323</v>
      </c>
      <c r="D1153" s="3" t="s">
        <v>3323</v>
      </c>
      <c r="E1153" s="2">
        <v>2018</v>
      </c>
      <c r="F1153" s="3" t="s">
        <v>3324</v>
      </c>
      <c r="G1153" s="2" t="s">
        <v>12</v>
      </c>
      <c r="H1153" s="3" t="s">
        <v>72</v>
      </c>
      <c r="I1153" s="12" t="s">
        <v>3204</v>
      </c>
    </row>
    <row r="1154" spans="1:9" ht="60" x14ac:dyDescent="0.25">
      <c r="A1154" s="2">
        <v>1151</v>
      </c>
      <c r="B1154" s="3" t="s">
        <v>3325</v>
      </c>
      <c r="C1154" s="3" t="s">
        <v>3326</v>
      </c>
      <c r="D1154" s="3" t="s">
        <v>3326</v>
      </c>
      <c r="E1154" s="2">
        <v>2019</v>
      </c>
      <c r="F1154" s="3" t="s">
        <v>3327</v>
      </c>
      <c r="G1154" s="2" t="s">
        <v>12</v>
      </c>
      <c r="H1154" s="3" t="s">
        <v>3328</v>
      </c>
      <c r="I1154" s="16" t="s">
        <v>3329</v>
      </c>
    </row>
    <row r="1155" spans="1:9" ht="76.5" x14ac:dyDescent="0.25">
      <c r="A1155" s="2">
        <v>1152</v>
      </c>
      <c r="B1155" s="3" t="s">
        <v>3325</v>
      </c>
      <c r="C1155" s="3" t="s">
        <v>3330</v>
      </c>
      <c r="D1155" s="3" t="s">
        <v>3330</v>
      </c>
      <c r="E1155" s="2">
        <v>2019</v>
      </c>
      <c r="F1155" s="3">
        <v>9780367139612</v>
      </c>
      <c r="G1155" s="2" t="s">
        <v>12</v>
      </c>
      <c r="H1155" s="3" t="s">
        <v>3331</v>
      </c>
      <c r="I1155" s="16" t="s">
        <v>3332</v>
      </c>
    </row>
    <row r="1156" spans="1:9" ht="45" x14ac:dyDescent="0.25">
      <c r="A1156" s="2">
        <v>1153</v>
      </c>
      <c r="B1156" s="3" t="s">
        <v>3325</v>
      </c>
      <c r="C1156" s="3" t="s">
        <v>3333</v>
      </c>
      <c r="D1156" s="3" t="s">
        <v>3333</v>
      </c>
      <c r="E1156" s="2">
        <v>2018</v>
      </c>
      <c r="F1156" s="3">
        <v>9789352137053</v>
      </c>
      <c r="G1156" s="2" t="s">
        <v>12</v>
      </c>
      <c r="H1156" s="3" t="s">
        <v>3334</v>
      </c>
      <c r="I1156" s="16" t="s">
        <v>3335</v>
      </c>
    </row>
    <row r="1157" spans="1:9" ht="30" x14ac:dyDescent="0.25">
      <c r="A1157" s="2">
        <v>1154</v>
      </c>
      <c r="B1157" s="3" t="s">
        <v>3325</v>
      </c>
      <c r="C1157" s="3" t="s">
        <v>3336</v>
      </c>
      <c r="D1157" s="3" t="s">
        <v>3336</v>
      </c>
      <c r="E1157" s="2">
        <v>2019</v>
      </c>
      <c r="F1157" s="3">
        <v>9789352138845</v>
      </c>
      <c r="G1157" s="2" t="s">
        <v>12</v>
      </c>
      <c r="H1157" s="3" t="s">
        <v>3334</v>
      </c>
      <c r="I1157" s="12" t="s">
        <v>3204</v>
      </c>
    </row>
    <row r="1158" spans="1:9" ht="30" x14ac:dyDescent="0.25">
      <c r="A1158" s="2">
        <v>1155</v>
      </c>
      <c r="B1158" s="3" t="s">
        <v>3337</v>
      </c>
      <c r="C1158" s="3" t="s">
        <v>3338</v>
      </c>
      <c r="D1158" s="3" t="s">
        <v>3338</v>
      </c>
      <c r="E1158" s="2">
        <v>2019</v>
      </c>
      <c r="F1158" s="3" t="s">
        <v>3339</v>
      </c>
      <c r="G1158" s="2" t="s">
        <v>12</v>
      </c>
      <c r="H1158" s="3" t="s">
        <v>3340</v>
      </c>
      <c r="I1158" s="12" t="s">
        <v>3204</v>
      </c>
    </row>
    <row r="1159" spans="1:9" ht="195" x14ac:dyDescent="0.25">
      <c r="A1159" s="2">
        <v>1156</v>
      </c>
      <c r="B1159" s="3" t="s">
        <v>3341</v>
      </c>
      <c r="C1159" s="3" t="s">
        <v>3342</v>
      </c>
      <c r="D1159" s="3" t="s">
        <v>3342</v>
      </c>
      <c r="E1159" s="2">
        <v>2019</v>
      </c>
      <c r="F1159" s="3" t="s">
        <v>3201</v>
      </c>
      <c r="G1159" s="2" t="s">
        <v>12</v>
      </c>
      <c r="H1159" s="3" t="s">
        <v>3343</v>
      </c>
      <c r="I1159" s="12" t="s">
        <v>3204</v>
      </c>
    </row>
    <row r="1160" spans="1:9" ht="45" x14ac:dyDescent="0.25">
      <c r="A1160" s="2">
        <v>1157</v>
      </c>
      <c r="B1160" s="3" t="s">
        <v>3341</v>
      </c>
      <c r="C1160" s="3" t="s">
        <v>3344</v>
      </c>
      <c r="D1160" s="3" t="s">
        <v>3344</v>
      </c>
      <c r="E1160" s="2">
        <v>2019</v>
      </c>
      <c r="F1160" s="3" t="s">
        <v>3201</v>
      </c>
      <c r="G1160" s="2" t="s">
        <v>12</v>
      </c>
      <c r="H1160" s="3" t="s">
        <v>3290</v>
      </c>
      <c r="I1160" s="12" t="s">
        <v>3204</v>
      </c>
    </row>
    <row r="1161" spans="1:9" ht="75" x14ac:dyDescent="0.25">
      <c r="A1161" s="2">
        <v>1158</v>
      </c>
      <c r="B1161" s="3" t="s">
        <v>3341</v>
      </c>
      <c r="C1161" s="3" t="s">
        <v>3345</v>
      </c>
      <c r="D1161" s="3" t="s">
        <v>3345</v>
      </c>
      <c r="E1161" s="2">
        <v>2019</v>
      </c>
      <c r="F1161" s="3" t="s">
        <v>3346</v>
      </c>
      <c r="G1161" s="2" t="s">
        <v>12</v>
      </c>
      <c r="H1161" s="3" t="s">
        <v>3347</v>
      </c>
      <c r="I1161" s="15" t="s">
        <v>3204</v>
      </c>
    </row>
    <row r="1162" spans="1:9" ht="30" x14ac:dyDescent="0.25">
      <c r="A1162" s="2">
        <v>1159</v>
      </c>
      <c r="B1162" s="3" t="s">
        <v>3337</v>
      </c>
      <c r="C1162" s="3" t="s">
        <v>3317</v>
      </c>
      <c r="D1162" s="3" t="s">
        <v>3317</v>
      </c>
      <c r="E1162" s="2">
        <v>2020</v>
      </c>
      <c r="F1162" s="3" t="s">
        <v>3348</v>
      </c>
      <c r="G1162" s="2" t="s">
        <v>12</v>
      </c>
      <c r="H1162" s="3" t="s">
        <v>3349</v>
      </c>
      <c r="I1162" s="12" t="s">
        <v>3204</v>
      </c>
    </row>
    <row r="1163" spans="1:9" ht="30" x14ac:dyDescent="0.25">
      <c r="A1163" s="2">
        <v>1160</v>
      </c>
      <c r="B1163" s="3" t="s">
        <v>3337</v>
      </c>
      <c r="C1163" s="3" t="s">
        <v>3350</v>
      </c>
      <c r="D1163" s="3" t="s">
        <v>3350</v>
      </c>
      <c r="E1163" s="2">
        <v>2019</v>
      </c>
      <c r="F1163" s="3" t="s">
        <v>3339</v>
      </c>
      <c r="G1163" s="2" t="s">
        <v>12</v>
      </c>
      <c r="H1163" s="3" t="s">
        <v>3351</v>
      </c>
      <c r="I1163" s="12" t="s">
        <v>3204</v>
      </c>
    </row>
    <row r="1164" spans="1:9" ht="60" x14ac:dyDescent="0.25">
      <c r="A1164" s="2">
        <v>1161</v>
      </c>
      <c r="B1164" s="3" t="s">
        <v>3352</v>
      </c>
      <c r="C1164" s="3" t="s">
        <v>3353</v>
      </c>
      <c r="D1164" s="3" t="s">
        <v>3353</v>
      </c>
      <c r="E1164" s="2">
        <v>2019</v>
      </c>
      <c r="F1164" s="3" t="s">
        <v>3354</v>
      </c>
      <c r="G1164" s="2" t="s">
        <v>12</v>
      </c>
      <c r="H1164" s="3" t="s">
        <v>3319</v>
      </c>
      <c r="I1164" s="12" t="s">
        <v>3204</v>
      </c>
    </row>
    <row r="1165" spans="1:9" ht="76.5" x14ac:dyDescent="0.25">
      <c r="A1165" s="2">
        <v>1162</v>
      </c>
      <c r="B1165" s="3" t="s">
        <v>3352</v>
      </c>
      <c r="C1165" s="3" t="s">
        <v>3330</v>
      </c>
      <c r="D1165" s="3" t="s">
        <v>3330</v>
      </c>
      <c r="E1165" s="2">
        <v>2020</v>
      </c>
      <c r="F1165" s="3" t="s">
        <v>3355</v>
      </c>
      <c r="G1165" s="2" t="s">
        <v>12</v>
      </c>
      <c r="H1165" s="3" t="s">
        <v>3356</v>
      </c>
      <c r="I1165" s="16" t="s">
        <v>3332</v>
      </c>
    </row>
    <row r="1166" spans="1:9" ht="60" x14ac:dyDescent="0.25">
      <c r="A1166" s="2">
        <v>1163</v>
      </c>
      <c r="B1166" s="3" t="s">
        <v>3352</v>
      </c>
      <c r="C1166" s="3" t="s">
        <v>3357</v>
      </c>
      <c r="D1166" s="3" t="s">
        <v>3357</v>
      </c>
      <c r="E1166" s="2">
        <v>2019</v>
      </c>
      <c r="F1166" s="3" t="s">
        <v>3358</v>
      </c>
      <c r="G1166" s="2" t="s">
        <v>12</v>
      </c>
      <c r="H1166" s="3" t="s">
        <v>3319</v>
      </c>
      <c r="I1166" s="15" t="s">
        <v>3204</v>
      </c>
    </row>
    <row r="1167" spans="1:9" ht="90" x14ac:dyDescent="0.25">
      <c r="A1167" s="2">
        <v>1164</v>
      </c>
      <c r="B1167" s="3" t="s">
        <v>3352</v>
      </c>
      <c r="C1167" s="3" t="s">
        <v>834</v>
      </c>
      <c r="D1167" s="3" t="s">
        <v>834</v>
      </c>
      <c r="E1167" s="2">
        <v>2019</v>
      </c>
      <c r="F1167" s="3" t="s">
        <v>3359</v>
      </c>
      <c r="G1167" s="2" t="s">
        <v>12</v>
      </c>
      <c r="H1167" s="3" t="s">
        <v>3319</v>
      </c>
      <c r="I1167" s="15" t="s">
        <v>3204</v>
      </c>
    </row>
    <row r="1168" spans="1:9" ht="45" x14ac:dyDescent="0.25">
      <c r="A1168" s="2">
        <v>1165</v>
      </c>
      <c r="B1168" s="3" t="s">
        <v>3352</v>
      </c>
      <c r="C1168" s="3" t="s">
        <v>3360</v>
      </c>
      <c r="D1168" s="3" t="s">
        <v>3360</v>
      </c>
      <c r="E1168" s="2">
        <v>2019</v>
      </c>
      <c r="F1168" s="3" t="s">
        <v>3361</v>
      </c>
      <c r="G1168" s="2" t="s">
        <v>12</v>
      </c>
      <c r="H1168" s="3" t="s">
        <v>3319</v>
      </c>
      <c r="I1168" s="15" t="s">
        <v>3204</v>
      </c>
    </row>
    <row r="1169" spans="1:9" ht="51" x14ac:dyDescent="0.25">
      <c r="A1169" s="2">
        <v>1166</v>
      </c>
      <c r="B1169" s="3" t="s">
        <v>3325</v>
      </c>
      <c r="C1169" s="3" t="s">
        <v>3362</v>
      </c>
      <c r="D1169" s="3" t="s">
        <v>3362</v>
      </c>
      <c r="E1169" s="2">
        <v>2019</v>
      </c>
      <c r="F1169" s="3">
        <v>9789352135882</v>
      </c>
      <c r="G1169" s="2" t="s">
        <v>12</v>
      </c>
      <c r="H1169" s="3" t="s">
        <v>3363</v>
      </c>
      <c r="I1169" s="16" t="s">
        <v>3364</v>
      </c>
    </row>
    <row r="1170" spans="1:9" ht="60" x14ac:dyDescent="0.25">
      <c r="A1170" s="2">
        <v>1167</v>
      </c>
      <c r="B1170" s="3" t="s">
        <v>3325</v>
      </c>
      <c r="C1170" s="3" t="s">
        <v>3365</v>
      </c>
      <c r="D1170" s="3" t="s">
        <v>3365</v>
      </c>
      <c r="E1170" s="2">
        <v>2020</v>
      </c>
      <c r="F1170" s="3" t="s">
        <v>3366</v>
      </c>
      <c r="G1170" s="2" t="s">
        <v>12</v>
      </c>
      <c r="H1170" s="3" t="s">
        <v>3328</v>
      </c>
      <c r="I1170" s="16" t="s">
        <v>3367</v>
      </c>
    </row>
    <row r="1171" spans="1:9" ht="60" x14ac:dyDescent="0.25">
      <c r="A1171" s="2">
        <v>1168</v>
      </c>
      <c r="B1171" s="3" t="s">
        <v>3325</v>
      </c>
      <c r="C1171" s="3" t="s">
        <v>3368</v>
      </c>
      <c r="D1171" s="3" t="s">
        <v>3368</v>
      </c>
      <c r="E1171" s="2">
        <v>2020</v>
      </c>
      <c r="F1171" s="3" t="s">
        <v>3369</v>
      </c>
      <c r="G1171" s="2" t="s">
        <v>12</v>
      </c>
      <c r="H1171" s="3" t="s">
        <v>3328</v>
      </c>
      <c r="I1171" s="12" t="s">
        <v>3204</v>
      </c>
    </row>
    <row r="1172" spans="1:9" ht="105" x14ac:dyDescent="0.25">
      <c r="A1172" s="2">
        <v>1169</v>
      </c>
      <c r="B1172" s="3" t="s">
        <v>3325</v>
      </c>
      <c r="C1172" s="3" t="s">
        <v>3370</v>
      </c>
      <c r="D1172" s="3" t="s">
        <v>3370</v>
      </c>
      <c r="E1172" s="2">
        <v>2020</v>
      </c>
      <c r="F1172" s="3" t="s">
        <v>3371</v>
      </c>
      <c r="G1172" s="2" t="s">
        <v>12</v>
      </c>
      <c r="H1172" s="3" t="s">
        <v>3347</v>
      </c>
      <c r="I1172" s="16" t="s">
        <v>3372</v>
      </c>
    </row>
    <row r="1173" spans="1:9" ht="45" x14ac:dyDescent="0.25">
      <c r="A1173" s="2">
        <v>1170</v>
      </c>
      <c r="B1173" s="3" t="s">
        <v>3325</v>
      </c>
      <c r="C1173" s="3" t="s">
        <v>3373</v>
      </c>
      <c r="D1173" s="3" t="s">
        <v>3373</v>
      </c>
      <c r="E1173" s="2">
        <v>2020</v>
      </c>
      <c r="F1173" s="3" t="s">
        <v>3374</v>
      </c>
      <c r="G1173" s="2" t="s">
        <v>12</v>
      </c>
      <c r="H1173" s="3" t="s">
        <v>3375</v>
      </c>
      <c r="I1173" s="12" t="s">
        <v>3204</v>
      </c>
    </row>
    <row r="1174" spans="1:9" ht="30" x14ac:dyDescent="0.25">
      <c r="A1174" s="2">
        <v>1171</v>
      </c>
      <c r="B1174" s="3" t="s">
        <v>3376</v>
      </c>
      <c r="C1174" s="3" t="s">
        <v>3377</v>
      </c>
      <c r="D1174" s="3" t="s">
        <v>3377</v>
      </c>
      <c r="E1174" s="2">
        <v>2020</v>
      </c>
      <c r="F1174" s="3" t="s">
        <v>3366</v>
      </c>
      <c r="G1174" s="2" t="s">
        <v>12</v>
      </c>
      <c r="H1174" s="3" t="s">
        <v>3378</v>
      </c>
      <c r="I1174" s="12" t="s">
        <v>3204</v>
      </c>
    </row>
    <row r="1175" spans="1:9" ht="75" x14ac:dyDescent="0.25">
      <c r="A1175" s="2">
        <v>1172</v>
      </c>
      <c r="B1175" s="3" t="s">
        <v>3376</v>
      </c>
      <c r="C1175" s="3" t="s">
        <v>3379</v>
      </c>
      <c r="D1175" s="3" t="s">
        <v>3379</v>
      </c>
      <c r="E1175" s="2">
        <v>2019</v>
      </c>
      <c r="F1175" s="3" t="s">
        <v>3380</v>
      </c>
      <c r="G1175" s="2" t="s">
        <v>12</v>
      </c>
      <c r="H1175" s="3" t="s">
        <v>3381</v>
      </c>
      <c r="I1175" s="12" t="s">
        <v>3204</v>
      </c>
    </row>
    <row r="1176" spans="1:9" ht="75" x14ac:dyDescent="0.25">
      <c r="A1176" s="2">
        <v>1173</v>
      </c>
      <c r="B1176" s="3" t="s">
        <v>3382</v>
      </c>
      <c r="C1176" s="3" t="s">
        <v>3383</v>
      </c>
      <c r="D1176" s="3" t="s">
        <v>3383</v>
      </c>
      <c r="E1176" s="2">
        <v>2020</v>
      </c>
      <c r="F1176" s="3" t="s">
        <v>3384</v>
      </c>
      <c r="G1176" s="2" t="s">
        <v>12</v>
      </c>
      <c r="H1176" s="3" t="s">
        <v>3328</v>
      </c>
      <c r="I1176" s="16" t="s">
        <v>3385</v>
      </c>
    </row>
    <row r="1177" spans="1:9" ht="75" x14ac:dyDescent="0.25">
      <c r="A1177" s="2">
        <v>1174</v>
      </c>
      <c r="B1177" s="3" t="s">
        <v>3382</v>
      </c>
      <c r="C1177" s="3" t="s">
        <v>3386</v>
      </c>
      <c r="D1177" s="3" t="s">
        <v>3386</v>
      </c>
      <c r="E1177" s="2">
        <v>2020</v>
      </c>
      <c r="F1177" s="3" t="s">
        <v>3387</v>
      </c>
      <c r="G1177" s="2" t="s">
        <v>12</v>
      </c>
      <c r="H1177" s="3" t="s">
        <v>3328</v>
      </c>
      <c r="I1177" s="16" t="s">
        <v>3388</v>
      </c>
    </row>
    <row r="1178" spans="1:9" ht="45" x14ac:dyDescent="0.25">
      <c r="A1178" s="2">
        <v>1175</v>
      </c>
      <c r="B1178" s="3" t="s">
        <v>3382</v>
      </c>
      <c r="C1178" s="3" t="s">
        <v>3389</v>
      </c>
      <c r="D1178" s="3" t="s">
        <v>3389</v>
      </c>
      <c r="E1178" s="2">
        <v>2019</v>
      </c>
      <c r="F1178" s="3" t="s">
        <v>3390</v>
      </c>
      <c r="G1178" s="2" t="s">
        <v>12</v>
      </c>
      <c r="H1178" s="3" t="s">
        <v>3391</v>
      </c>
      <c r="I1178" s="12" t="s">
        <v>3204</v>
      </c>
    </row>
    <row r="1179" spans="1:9" ht="60" x14ac:dyDescent="0.25">
      <c r="A1179" s="2">
        <v>1176</v>
      </c>
      <c r="B1179" s="3" t="s">
        <v>3392</v>
      </c>
      <c r="C1179" s="3" t="s">
        <v>3393</v>
      </c>
      <c r="D1179" s="3" t="s">
        <v>3393</v>
      </c>
      <c r="E1179" s="2">
        <v>2021</v>
      </c>
      <c r="F1179" s="3" t="s">
        <v>3201</v>
      </c>
      <c r="G1179" s="2" t="s">
        <v>12</v>
      </c>
      <c r="H1179" s="3" t="s">
        <v>3394</v>
      </c>
      <c r="I1179" s="15" t="s">
        <v>3204</v>
      </c>
    </row>
    <row r="1180" spans="1:9" ht="30" x14ac:dyDescent="0.25">
      <c r="A1180" s="2">
        <v>1177</v>
      </c>
      <c r="B1180" s="3" t="s">
        <v>3316</v>
      </c>
      <c r="C1180" s="3" t="s">
        <v>3395</v>
      </c>
      <c r="D1180" s="3" t="s">
        <v>3395</v>
      </c>
      <c r="E1180" s="2">
        <v>2021</v>
      </c>
      <c r="F1180" s="3" t="s">
        <v>3396</v>
      </c>
      <c r="G1180" s="2" t="s">
        <v>12</v>
      </c>
      <c r="H1180" s="3" t="s">
        <v>3328</v>
      </c>
      <c r="I1180" s="12" t="s">
        <v>3204</v>
      </c>
    </row>
    <row r="1181" spans="1:9" ht="60" x14ac:dyDescent="0.25">
      <c r="A1181" s="2">
        <v>1178</v>
      </c>
      <c r="B1181" s="3" t="s">
        <v>3316</v>
      </c>
      <c r="C1181" s="3" t="s">
        <v>3397</v>
      </c>
      <c r="D1181" s="3" t="s">
        <v>3397</v>
      </c>
      <c r="E1181" s="2">
        <v>2020</v>
      </c>
      <c r="F1181" s="3" t="s">
        <v>3398</v>
      </c>
      <c r="G1181" s="2" t="s">
        <v>12</v>
      </c>
      <c r="H1181" s="3" t="s">
        <v>3328</v>
      </c>
      <c r="I1181" s="12" t="s">
        <v>3204</v>
      </c>
    </row>
    <row r="1182" spans="1:9" ht="30" x14ac:dyDescent="0.25">
      <c r="A1182" s="2">
        <v>1179</v>
      </c>
      <c r="B1182" s="3" t="s">
        <v>3325</v>
      </c>
      <c r="C1182" s="3" t="s">
        <v>3399</v>
      </c>
      <c r="D1182" s="3" t="s">
        <v>3399</v>
      </c>
      <c r="E1182" s="2">
        <v>2021</v>
      </c>
      <c r="F1182" s="3">
        <v>9789355421456</v>
      </c>
      <c r="G1182" s="2" t="s">
        <v>12</v>
      </c>
      <c r="H1182" s="3" t="s">
        <v>3400</v>
      </c>
      <c r="I1182" s="15" t="s">
        <v>3204</v>
      </c>
    </row>
    <row r="1183" spans="1:9" ht="30" x14ac:dyDescent="0.25">
      <c r="A1183" s="2">
        <v>1180</v>
      </c>
      <c r="B1183" s="3" t="s">
        <v>3325</v>
      </c>
      <c r="C1183" s="3" t="s">
        <v>3336</v>
      </c>
      <c r="D1183" s="3" t="s">
        <v>3336</v>
      </c>
      <c r="E1183" s="2">
        <v>2021</v>
      </c>
      <c r="F1183" s="3">
        <v>9789352138845</v>
      </c>
      <c r="G1183" s="2" t="s">
        <v>12</v>
      </c>
      <c r="H1183" s="3" t="s">
        <v>3400</v>
      </c>
      <c r="I1183" s="15" t="s">
        <v>3204</v>
      </c>
    </row>
    <row r="1184" spans="1:9" ht="30" x14ac:dyDescent="0.25">
      <c r="A1184" s="2">
        <v>1181</v>
      </c>
      <c r="B1184" s="3" t="s">
        <v>3325</v>
      </c>
      <c r="C1184" s="3" t="s">
        <v>3401</v>
      </c>
      <c r="D1184" s="3" t="s">
        <v>3401</v>
      </c>
      <c r="E1184" s="2">
        <v>2021</v>
      </c>
      <c r="F1184" s="3">
        <v>9789355421111</v>
      </c>
      <c r="G1184" s="2" t="s">
        <v>12</v>
      </c>
      <c r="H1184" s="3" t="s">
        <v>3400</v>
      </c>
      <c r="I1184" s="15" t="s">
        <v>3204</v>
      </c>
    </row>
    <row r="1185" spans="1:9" ht="30" x14ac:dyDescent="0.25">
      <c r="A1185" s="2">
        <v>1182</v>
      </c>
      <c r="B1185" s="3" t="s">
        <v>3325</v>
      </c>
      <c r="C1185" s="3" t="s">
        <v>3402</v>
      </c>
      <c r="D1185" s="3" t="s">
        <v>3402</v>
      </c>
      <c r="E1185" s="2">
        <v>2021</v>
      </c>
      <c r="F1185" s="3">
        <v>9789352139149</v>
      </c>
      <c r="G1185" s="2" t="s">
        <v>12</v>
      </c>
      <c r="H1185" s="3" t="s">
        <v>3400</v>
      </c>
      <c r="I1185" s="15" t="s">
        <v>3204</v>
      </c>
    </row>
    <row r="1186" spans="1:9" ht="45" x14ac:dyDescent="0.25">
      <c r="A1186" s="2">
        <v>1183</v>
      </c>
      <c r="B1186" s="3" t="s">
        <v>3382</v>
      </c>
      <c r="C1186" s="3" t="s">
        <v>3403</v>
      </c>
      <c r="D1186" s="3" t="s">
        <v>3403</v>
      </c>
      <c r="E1186" s="2">
        <v>2021</v>
      </c>
      <c r="F1186" s="3" t="s">
        <v>3404</v>
      </c>
      <c r="G1186" s="2" t="s">
        <v>12</v>
      </c>
      <c r="H1186" s="3" t="s">
        <v>3405</v>
      </c>
      <c r="I1186" s="15" t="s">
        <v>3204</v>
      </c>
    </row>
    <row r="1187" spans="1:9" ht="60" x14ac:dyDescent="0.25">
      <c r="A1187" s="2">
        <v>1184</v>
      </c>
      <c r="B1187" s="3" t="s">
        <v>3352</v>
      </c>
      <c r="C1187" s="3" t="s">
        <v>3406</v>
      </c>
      <c r="D1187" s="3" t="s">
        <v>3406</v>
      </c>
      <c r="E1187" s="2">
        <v>2021</v>
      </c>
      <c r="F1187" s="3" t="s">
        <v>3407</v>
      </c>
      <c r="G1187" s="2" t="s">
        <v>12</v>
      </c>
      <c r="H1187" s="3" t="s">
        <v>48</v>
      </c>
      <c r="I1187" s="12" t="s">
        <v>3204</v>
      </c>
    </row>
    <row r="1188" spans="1:9" ht="60" x14ac:dyDescent="0.25">
      <c r="A1188" s="2">
        <v>1185</v>
      </c>
      <c r="B1188" s="3" t="s">
        <v>3352</v>
      </c>
      <c r="C1188" s="3" t="s">
        <v>3406</v>
      </c>
      <c r="D1188" s="3" t="s">
        <v>3406</v>
      </c>
      <c r="E1188" s="2">
        <v>2021</v>
      </c>
      <c r="F1188" s="3" t="s">
        <v>3407</v>
      </c>
      <c r="G1188" s="2" t="s">
        <v>12</v>
      </c>
      <c r="H1188" s="3" t="s">
        <v>3328</v>
      </c>
      <c r="I1188" s="12" t="s">
        <v>3204</v>
      </c>
    </row>
    <row r="1189" spans="1:9" ht="60" x14ac:dyDescent="0.25">
      <c r="A1189" s="2">
        <v>1186</v>
      </c>
      <c r="B1189" s="3" t="s">
        <v>3352</v>
      </c>
      <c r="C1189" s="3" t="s">
        <v>3406</v>
      </c>
      <c r="D1189" s="3" t="s">
        <v>3406</v>
      </c>
      <c r="E1189" s="2">
        <v>2021</v>
      </c>
      <c r="F1189" s="3" t="s">
        <v>3407</v>
      </c>
      <c r="G1189" s="2" t="s">
        <v>12</v>
      </c>
      <c r="H1189" s="3" t="s">
        <v>3328</v>
      </c>
      <c r="I1189" s="12" t="s">
        <v>3204</v>
      </c>
    </row>
    <row r="1190" spans="1:9" ht="60" x14ac:dyDescent="0.25">
      <c r="A1190" s="2">
        <v>1187</v>
      </c>
      <c r="B1190" s="3" t="s">
        <v>3352</v>
      </c>
      <c r="C1190" s="3" t="s">
        <v>3406</v>
      </c>
      <c r="D1190" s="3" t="s">
        <v>3406</v>
      </c>
      <c r="E1190" s="2">
        <v>2021</v>
      </c>
      <c r="F1190" s="3" t="s">
        <v>3407</v>
      </c>
      <c r="G1190" s="2" t="s">
        <v>12</v>
      </c>
      <c r="H1190" s="3" t="s">
        <v>3328</v>
      </c>
      <c r="I1190" s="12" t="s">
        <v>3204</v>
      </c>
    </row>
    <row r="1191" spans="1:9" ht="60" x14ac:dyDescent="0.25">
      <c r="A1191" s="2">
        <v>1188</v>
      </c>
      <c r="B1191" s="3" t="s">
        <v>3352</v>
      </c>
      <c r="C1191" s="3" t="s">
        <v>3406</v>
      </c>
      <c r="D1191" s="3" t="s">
        <v>3406</v>
      </c>
      <c r="E1191" s="2">
        <v>2021</v>
      </c>
      <c r="F1191" s="3" t="s">
        <v>3407</v>
      </c>
      <c r="G1191" s="2" t="s">
        <v>12</v>
      </c>
      <c r="H1191" s="3" t="s">
        <v>3328</v>
      </c>
      <c r="I1191" s="12" t="s">
        <v>3204</v>
      </c>
    </row>
    <row r="1192" spans="1:9" ht="60" x14ac:dyDescent="0.25">
      <c r="A1192" s="2">
        <v>1189</v>
      </c>
      <c r="B1192" s="3" t="s">
        <v>3352</v>
      </c>
      <c r="C1192" s="3" t="s">
        <v>3406</v>
      </c>
      <c r="D1192" s="3" t="s">
        <v>3406</v>
      </c>
      <c r="E1192" s="2">
        <v>2021</v>
      </c>
      <c r="F1192" s="3" t="s">
        <v>3407</v>
      </c>
      <c r="G1192" s="2" t="s">
        <v>12</v>
      </c>
      <c r="H1192" s="3" t="s">
        <v>3328</v>
      </c>
      <c r="I1192" s="12" t="s">
        <v>3204</v>
      </c>
    </row>
    <row r="1193" spans="1:9" ht="75" x14ac:dyDescent="0.25">
      <c r="A1193" s="2">
        <v>1190</v>
      </c>
      <c r="B1193" s="3" t="s">
        <v>3382</v>
      </c>
      <c r="C1193" s="3" t="s">
        <v>3408</v>
      </c>
      <c r="D1193" s="3" t="s">
        <v>3408</v>
      </c>
      <c r="E1193" s="2">
        <v>2021</v>
      </c>
      <c r="F1193" s="3" t="s">
        <v>3201</v>
      </c>
      <c r="G1193" s="2" t="s">
        <v>12</v>
      </c>
      <c r="H1193" s="3" t="s">
        <v>3328</v>
      </c>
      <c r="I1193" s="15" t="s">
        <v>3204</v>
      </c>
    </row>
    <row r="1194" spans="1:9" ht="75" x14ac:dyDescent="0.25">
      <c r="A1194" s="2">
        <v>1191</v>
      </c>
      <c r="B1194" s="3" t="s">
        <v>3376</v>
      </c>
      <c r="C1194" s="3" t="s">
        <v>3409</v>
      </c>
      <c r="D1194" s="3" t="s">
        <v>3409</v>
      </c>
      <c r="E1194" s="2">
        <v>2021</v>
      </c>
      <c r="F1194" s="3" t="s">
        <v>3410</v>
      </c>
      <c r="G1194" s="2" t="s">
        <v>12</v>
      </c>
      <c r="H1194" s="3" t="s">
        <v>3201</v>
      </c>
      <c r="I1194" s="15" t="s">
        <v>3204</v>
      </c>
    </row>
    <row r="1195" spans="1:9" ht="30" x14ac:dyDescent="0.25">
      <c r="A1195" s="2">
        <v>1192</v>
      </c>
      <c r="B1195" s="3" t="s">
        <v>3411</v>
      </c>
      <c r="C1195" s="3" t="s">
        <v>3412</v>
      </c>
      <c r="D1195" s="3" t="s">
        <v>3412</v>
      </c>
      <c r="E1195" s="2">
        <v>2020</v>
      </c>
      <c r="F1195" s="3" t="s">
        <v>3413</v>
      </c>
      <c r="G1195" s="2" t="s">
        <v>12</v>
      </c>
      <c r="H1195" s="3" t="s">
        <v>3414</v>
      </c>
      <c r="I1195" s="12" t="s">
        <v>3204</v>
      </c>
    </row>
    <row r="1196" spans="1:9" ht="30" x14ac:dyDescent="0.25">
      <c r="A1196" s="2">
        <v>1193</v>
      </c>
      <c r="B1196" s="3" t="s">
        <v>3411</v>
      </c>
      <c r="C1196" s="3" t="s">
        <v>3415</v>
      </c>
      <c r="D1196" s="3" t="s">
        <v>3415</v>
      </c>
      <c r="E1196" s="2">
        <v>2020</v>
      </c>
      <c r="F1196" s="3" t="s">
        <v>3413</v>
      </c>
      <c r="G1196" s="2" t="s">
        <v>12</v>
      </c>
      <c r="H1196" s="3" t="s">
        <v>3414</v>
      </c>
      <c r="I1196" s="12" t="s">
        <v>3204</v>
      </c>
    </row>
    <row r="1197" spans="1:9" ht="30" x14ac:dyDescent="0.25">
      <c r="A1197" s="2">
        <v>1194</v>
      </c>
      <c r="B1197" s="3" t="s">
        <v>3416</v>
      </c>
      <c r="C1197" s="3" t="s">
        <v>3417</v>
      </c>
      <c r="D1197" s="3" t="s">
        <v>3417</v>
      </c>
      <c r="E1197" s="2">
        <v>2020</v>
      </c>
      <c r="F1197" s="3" t="s">
        <v>3418</v>
      </c>
      <c r="G1197" s="2" t="s">
        <v>12</v>
      </c>
      <c r="H1197" s="3" t="s">
        <v>3419</v>
      </c>
      <c r="I1197" s="12" t="s">
        <v>3204</v>
      </c>
    </row>
    <row r="1198" spans="1:9" ht="30" x14ac:dyDescent="0.25">
      <c r="A1198" s="2">
        <v>1195</v>
      </c>
      <c r="B1198" s="3" t="s">
        <v>3416</v>
      </c>
      <c r="C1198" s="3" t="s">
        <v>3420</v>
      </c>
      <c r="D1198" s="3" t="s">
        <v>3420</v>
      </c>
      <c r="E1198" s="2">
        <v>2021</v>
      </c>
      <c r="F1198" s="3" t="s">
        <v>3421</v>
      </c>
      <c r="G1198" s="2" t="s">
        <v>12</v>
      </c>
      <c r="H1198" s="3" t="s">
        <v>3422</v>
      </c>
      <c r="I1198" s="12" t="s">
        <v>3204</v>
      </c>
    </row>
    <row r="1199" spans="1:9" ht="60" x14ac:dyDescent="0.25">
      <c r="A1199" s="2">
        <v>1196</v>
      </c>
      <c r="B1199" s="3" t="s">
        <v>3416</v>
      </c>
      <c r="C1199" s="3" t="s">
        <v>3423</v>
      </c>
      <c r="D1199" s="3" t="s">
        <v>3423</v>
      </c>
      <c r="E1199" s="2">
        <v>2020</v>
      </c>
      <c r="F1199" s="3" t="s">
        <v>3424</v>
      </c>
      <c r="G1199" s="2" t="s">
        <v>12</v>
      </c>
      <c r="H1199" s="3" t="s">
        <v>3425</v>
      </c>
      <c r="I1199" s="12" t="s">
        <v>3204</v>
      </c>
    </row>
    <row r="1200" spans="1:9" ht="30" x14ac:dyDescent="0.25">
      <c r="A1200" s="2">
        <v>1197</v>
      </c>
      <c r="B1200" s="3" t="s">
        <v>3416</v>
      </c>
      <c r="C1200" s="3" t="s">
        <v>3426</v>
      </c>
      <c r="D1200" s="3" t="s">
        <v>3426</v>
      </c>
      <c r="E1200" s="2">
        <v>2021</v>
      </c>
      <c r="F1200" s="3" t="s">
        <v>3427</v>
      </c>
      <c r="G1200" s="2" t="s">
        <v>12</v>
      </c>
      <c r="H1200" s="3" t="s">
        <v>3428</v>
      </c>
      <c r="I1200" s="12" t="s">
        <v>3204</v>
      </c>
    </row>
    <row r="1201" spans="1:9" ht="45" x14ac:dyDescent="0.25">
      <c r="A1201" s="2">
        <v>1198</v>
      </c>
      <c r="B1201" s="3" t="s">
        <v>3416</v>
      </c>
      <c r="C1201" s="3" t="s">
        <v>3429</v>
      </c>
      <c r="D1201" s="3" t="s">
        <v>3429</v>
      </c>
      <c r="E1201" s="2">
        <v>2022</v>
      </c>
      <c r="F1201" s="3" t="s">
        <v>3430</v>
      </c>
      <c r="G1201" s="2" t="s">
        <v>12</v>
      </c>
      <c r="H1201" s="3" t="s">
        <v>3431</v>
      </c>
      <c r="I1201" s="12" t="s">
        <v>3204</v>
      </c>
    </row>
    <row r="1202" spans="1:9" ht="45" x14ac:dyDescent="0.25">
      <c r="A1202" s="2">
        <v>1199</v>
      </c>
      <c r="B1202" s="3" t="s">
        <v>3432</v>
      </c>
      <c r="C1202" s="3" t="s">
        <v>3429</v>
      </c>
      <c r="D1202" s="3" t="s">
        <v>3429</v>
      </c>
      <c r="E1202" s="2">
        <v>2022</v>
      </c>
      <c r="F1202" s="3" t="s">
        <v>3430</v>
      </c>
      <c r="G1202" s="2" t="s">
        <v>12</v>
      </c>
      <c r="H1202" s="3" t="s">
        <v>3431</v>
      </c>
      <c r="I1202" s="12" t="s">
        <v>3204</v>
      </c>
    </row>
    <row r="1203" spans="1:9" ht="30" x14ac:dyDescent="0.25">
      <c r="A1203" s="2">
        <v>1200</v>
      </c>
      <c r="B1203" s="3" t="s">
        <v>3433</v>
      </c>
      <c r="C1203" s="3" t="s">
        <v>3434</v>
      </c>
      <c r="D1203" s="3" t="s">
        <v>3434</v>
      </c>
      <c r="E1203" s="2">
        <v>2019</v>
      </c>
      <c r="F1203" s="3">
        <v>23199318</v>
      </c>
      <c r="G1203" s="2" t="s">
        <v>12</v>
      </c>
      <c r="H1203" s="3" t="s">
        <v>3435</v>
      </c>
      <c r="I1203" s="12" t="s">
        <v>3204</v>
      </c>
    </row>
    <row r="1204" spans="1:9" ht="30" x14ac:dyDescent="0.25">
      <c r="A1204" s="2">
        <v>1201</v>
      </c>
      <c r="B1204" s="3" t="s">
        <v>3433</v>
      </c>
      <c r="C1204" s="3" t="s">
        <v>3436</v>
      </c>
      <c r="D1204" s="3" t="s">
        <v>3436</v>
      </c>
      <c r="E1204" s="2">
        <v>2020</v>
      </c>
      <c r="F1204" s="3">
        <v>1</v>
      </c>
      <c r="G1204" s="2" t="s">
        <v>12</v>
      </c>
      <c r="H1204" s="3" t="s">
        <v>3437</v>
      </c>
      <c r="I1204" s="15" t="s">
        <v>3204</v>
      </c>
    </row>
    <row r="1205" spans="1:9" ht="30" x14ac:dyDescent="0.25">
      <c r="A1205" s="2">
        <v>1202</v>
      </c>
      <c r="B1205" s="3" t="s">
        <v>3438</v>
      </c>
      <c r="C1205" s="3" t="s">
        <v>3439</v>
      </c>
      <c r="D1205" s="3" t="s">
        <v>3439</v>
      </c>
      <c r="E1205" s="2">
        <v>2021</v>
      </c>
      <c r="F1205" s="3">
        <v>1</v>
      </c>
      <c r="G1205" s="2" t="s">
        <v>12</v>
      </c>
      <c r="H1205" s="3" t="s">
        <v>3440</v>
      </c>
      <c r="I1205" s="15" t="s">
        <v>3204</v>
      </c>
    </row>
    <row r="1206" spans="1:9" ht="45" x14ac:dyDescent="0.25">
      <c r="A1206" s="2">
        <v>1203</v>
      </c>
      <c r="B1206" s="3" t="s">
        <v>3438</v>
      </c>
      <c r="C1206" s="3" t="s">
        <v>3441</v>
      </c>
      <c r="D1206" s="3" t="s">
        <v>3441</v>
      </c>
      <c r="E1206" s="2">
        <v>2021</v>
      </c>
      <c r="F1206" s="3">
        <v>978939005277</v>
      </c>
      <c r="G1206" s="2" t="s">
        <v>12</v>
      </c>
      <c r="H1206" s="3" t="s">
        <v>3442</v>
      </c>
      <c r="I1206" s="15" t="s">
        <v>3204</v>
      </c>
    </row>
    <row r="1207" spans="1:9" ht="45" x14ac:dyDescent="0.25">
      <c r="A1207" s="2">
        <v>1204</v>
      </c>
      <c r="B1207" s="3" t="s">
        <v>3443</v>
      </c>
      <c r="C1207" s="3" t="s">
        <v>3444</v>
      </c>
      <c r="D1207" s="3" t="s">
        <v>3444</v>
      </c>
      <c r="E1207" s="2">
        <v>2021</v>
      </c>
      <c r="F1207" s="3" t="s">
        <v>3445</v>
      </c>
      <c r="G1207" s="2" t="s">
        <v>12</v>
      </c>
      <c r="H1207" s="3" t="s">
        <v>3446</v>
      </c>
      <c r="I1207" s="15" t="s">
        <v>3204</v>
      </c>
    </row>
    <row r="1208" spans="1:9" ht="45" x14ac:dyDescent="0.25">
      <c r="A1208" s="2">
        <v>1205</v>
      </c>
      <c r="B1208" s="3" t="s">
        <v>3443</v>
      </c>
      <c r="C1208" s="3" t="s">
        <v>3447</v>
      </c>
      <c r="D1208" s="3" t="s">
        <v>3447</v>
      </c>
      <c r="E1208" s="2">
        <v>2022</v>
      </c>
      <c r="F1208" s="3" t="s">
        <v>3448</v>
      </c>
      <c r="G1208" s="2" t="s">
        <v>12</v>
      </c>
      <c r="H1208" s="3" t="s">
        <v>3446</v>
      </c>
      <c r="I1208" s="12" t="s">
        <v>3204</v>
      </c>
    </row>
    <row r="1209" spans="1:9" ht="30" x14ac:dyDescent="0.25">
      <c r="A1209" s="2">
        <v>1206</v>
      </c>
      <c r="B1209" s="3" t="s">
        <v>3433</v>
      </c>
      <c r="C1209" s="3" t="s">
        <v>3449</v>
      </c>
      <c r="D1209" s="3" t="s">
        <v>3449</v>
      </c>
      <c r="E1209" s="2">
        <v>2023</v>
      </c>
      <c r="F1209" s="3" t="s">
        <v>3450</v>
      </c>
      <c r="G1209" s="2" t="s">
        <v>12</v>
      </c>
      <c r="H1209" s="3" t="s">
        <v>3451</v>
      </c>
      <c r="I1209" s="15" t="s">
        <v>3204</v>
      </c>
    </row>
    <row r="1210" spans="1:9" ht="30" x14ac:dyDescent="0.25">
      <c r="A1210" s="2">
        <v>1207</v>
      </c>
      <c r="B1210" s="3" t="s">
        <v>3433</v>
      </c>
      <c r="C1210" s="3" t="s">
        <v>3452</v>
      </c>
      <c r="D1210" s="3" t="s">
        <v>3452</v>
      </c>
      <c r="E1210" s="2">
        <v>2022</v>
      </c>
      <c r="F1210" s="3" t="s">
        <v>3453</v>
      </c>
      <c r="G1210" s="2" t="s">
        <v>12</v>
      </c>
      <c r="H1210" s="3" t="s">
        <v>3454</v>
      </c>
      <c r="I1210" s="12" t="s">
        <v>3204</v>
      </c>
    </row>
    <row r="1211" spans="1:9" ht="30" x14ac:dyDescent="0.25">
      <c r="A1211" s="2">
        <v>1208</v>
      </c>
      <c r="B1211" s="3" t="s">
        <v>3433</v>
      </c>
      <c r="C1211" s="3" t="s">
        <v>3455</v>
      </c>
      <c r="D1211" s="3" t="s">
        <v>3455</v>
      </c>
      <c r="E1211" s="2">
        <v>2022</v>
      </c>
      <c r="F1211" s="3">
        <v>9783354263774</v>
      </c>
      <c r="G1211" s="2" t="s">
        <v>12</v>
      </c>
      <c r="H1211" s="3" t="s">
        <v>3456</v>
      </c>
      <c r="I1211" s="12" t="s">
        <v>3204</v>
      </c>
    </row>
    <row r="1212" spans="1:9" ht="30" x14ac:dyDescent="0.25">
      <c r="A1212" s="2">
        <v>1209</v>
      </c>
      <c r="B1212" s="3" t="s">
        <v>3457</v>
      </c>
      <c r="C1212" s="3" t="s">
        <v>3458</v>
      </c>
      <c r="D1212" s="3" t="s">
        <v>3458</v>
      </c>
      <c r="E1212" s="2">
        <v>2019</v>
      </c>
      <c r="F1212" s="3" t="s">
        <v>3459</v>
      </c>
      <c r="G1212" s="2" t="s">
        <v>12</v>
      </c>
      <c r="H1212" s="3" t="s">
        <v>3460</v>
      </c>
      <c r="I1212" s="12" t="s">
        <v>3204</v>
      </c>
    </row>
    <row r="1213" spans="1:9" ht="30" x14ac:dyDescent="0.25">
      <c r="A1213" s="2">
        <v>1210</v>
      </c>
      <c r="B1213" s="3" t="s">
        <v>3461</v>
      </c>
      <c r="C1213" s="3" t="s">
        <v>3462</v>
      </c>
      <c r="D1213" s="3" t="s">
        <v>3462</v>
      </c>
      <c r="E1213" s="2">
        <v>2018</v>
      </c>
      <c r="F1213" s="3" t="s">
        <v>3463</v>
      </c>
      <c r="G1213" s="2" t="s">
        <v>12</v>
      </c>
      <c r="H1213" s="3" t="s">
        <v>3464</v>
      </c>
      <c r="I1213" s="12" t="s">
        <v>3204</v>
      </c>
    </row>
    <row r="1214" spans="1:9" ht="30" x14ac:dyDescent="0.25">
      <c r="A1214" s="2">
        <v>1211</v>
      </c>
      <c r="B1214" s="3" t="s">
        <v>3457</v>
      </c>
      <c r="C1214" s="3" t="s">
        <v>3458</v>
      </c>
      <c r="D1214" s="3" t="s">
        <v>3458</v>
      </c>
      <c r="E1214" s="2">
        <v>2019</v>
      </c>
      <c r="F1214" s="3" t="s">
        <v>3465</v>
      </c>
      <c r="G1214" s="2" t="s">
        <v>12</v>
      </c>
      <c r="H1214" s="3" t="s">
        <v>3466</v>
      </c>
      <c r="I1214" s="12" t="s">
        <v>3204</v>
      </c>
    </row>
    <row r="1215" spans="1:9" ht="45" x14ac:dyDescent="0.25">
      <c r="A1215" s="2">
        <v>1212</v>
      </c>
      <c r="B1215" s="3" t="s">
        <v>3467</v>
      </c>
      <c r="C1215" s="3" t="s">
        <v>3468</v>
      </c>
      <c r="D1215" s="3" t="s">
        <v>3468</v>
      </c>
      <c r="E1215" s="2">
        <v>2023</v>
      </c>
      <c r="F1215" s="3" t="s">
        <v>3469</v>
      </c>
      <c r="G1215" s="2" t="s">
        <v>12</v>
      </c>
      <c r="H1215" s="3" t="s">
        <v>3470</v>
      </c>
      <c r="I1215" s="15" t="s">
        <v>3204</v>
      </c>
    </row>
    <row r="1216" spans="1:9" ht="30" x14ac:dyDescent="0.25">
      <c r="A1216" s="2">
        <v>1213</v>
      </c>
      <c r="B1216" s="3" t="s">
        <v>3471</v>
      </c>
      <c r="C1216" s="3" t="s">
        <v>3472</v>
      </c>
      <c r="D1216" s="3" t="s">
        <v>3472</v>
      </c>
      <c r="E1216" s="2">
        <v>2019</v>
      </c>
      <c r="F1216" s="3">
        <v>8190408385</v>
      </c>
      <c r="G1216" s="2" t="s">
        <v>12</v>
      </c>
      <c r="H1216" s="3" t="s">
        <v>3473</v>
      </c>
      <c r="I1216" s="12" t="s">
        <v>3204</v>
      </c>
    </row>
    <row r="1217" spans="1:9" ht="30" x14ac:dyDescent="0.25">
      <c r="A1217" s="2">
        <v>1214</v>
      </c>
      <c r="B1217" s="3" t="s">
        <v>3471</v>
      </c>
      <c r="C1217" s="3" t="s">
        <v>3474</v>
      </c>
      <c r="D1217" s="3" t="s">
        <v>3474</v>
      </c>
      <c r="E1217" s="2">
        <v>2019</v>
      </c>
      <c r="F1217" s="3" t="s">
        <v>3475</v>
      </c>
      <c r="G1217" s="2" t="s">
        <v>12</v>
      </c>
      <c r="H1217" s="3" t="s">
        <v>3476</v>
      </c>
      <c r="I1217" s="12" t="s">
        <v>3204</v>
      </c>
    </row>
    <row r="1218" spans="1:9" ht="45" x14ac:dyDescent="0.25">
      <c r="A1218" s="2">
        <v>1215</v>
      </c>
      <c r="B1218" s="3" t="s">
        <v>3477</v>
      </c>
      <c r="C1218" s="3" t="s">
        <v>3478</v>
      </c>
      <c r="D1218" s="3" t="s">
        <v>3478</v>
      </c>
      <c r="E1218" s="2">
        <v>2023</v>
      </c>
      <c r="F1218" s="3" t="s">
        <v>3479</v>
      </c>
      <c r="G1218" s="2" t="s">
        <v>12</v>
      </c>
      <c r="H1218" s="3" t="s">
        <v>3480</v>
      </c>
      <c r="I1218" s="12" t="s">
        <v>3204</v>
      </c>
    </row>
    <row r="1219" spans="1:9" ht="45" x14ac:dyDescent="0.25">
      <c r="A1219" s="2">
        <v>1216</v>
      </c>
      <c r="B1219" s="3" t="s">
        <v>3477</v>
      </c>
      <c r="C1219" s="3" t="s">
        <v>3481</v>
      </c>
      <c r="D1219" s="3" t="s">
        <v>3481</v>
      </c>
      <c r="E1219" s="2">
        <v>2019</v>
      </c>
      <c r="F1219" s="3" t="s">
        <v>3482</v>
      </c>
      <c r="G1219" s="2" t="s">
        <v>12</v>
      </c>
      <c r="H1219" s="3" t="s">
        <v>3483</v>
      </c>
      <c r="I1219" s="12" t="s">
        <v>3204</v>
      </c>
    </row>
    <row r="1220" spans="1:9" ht="45" x14ac:dyDescent="0.25">
      <c r="A1220" s="2">
        <v>1217</v>
      </c>
      <c r="B1220" s="3" t="s">
        <v>3477</v>
      </c>
      <c r="C1220" s="3" t="s">
        <v>3484</v>
      </c>
      <c r="D1220" s="3" t="s">
        <v>3484</v>
      </c>
      <c r="E1220" s="2">
        <v>2019</v>
      </c>
      <c r="F1220" s="3" t="s">
        <v>3201</v>
      </c>
      <c r="G1220" s="2" t="s">
        <v>12</v>
      </c>
      <c r="H1220" s="3" t="s">
        <v>3201</v>
      </c>
      <c r="I1220" s="12" t="s">
        <v>3204</v>
      </c>
    </row>
    <row r="1221" spans="1:9" ht="30" x14ac:dyDescent="0.25">
      <c r="A1221" s="2">
        <v>1218</v>
      </c>
      <c r="B1221" s="3" t="s">
        <v>3477</v>
      </c>
      <c r="C1221" s="3" t="s">
        <v>3485</v>
      </c>
      <c r="D1221" s="3" t="s">
        <v>3485</v>
      </c>
      <c r="E1221" s="2">
        <v>2020</v>
      </c>
      <c r="F1221" s="3" t="s">
        <v>3201</v>
      </c>
      <c r="G1221" s="2" t="s">
        <v>12</v>
      </c>
      <c r="H1221" s="3" t="s">
        <v>3201</v>
      </c>
      <c r="I1221" s="12" t="s">
        <v>3204</v>
      </c>
    </row>
    <row r="1222" spans="1:9" ht="45" x14ac:dyDescent="0.25">
      <c r="A1222" s="2">
        <v>1219</v>
      </c>
      <c r="B1222" s="3" t="s">
        <v>3477</v>
      </c>
      <c r="C1222" s="3" t="s">
        <v>3486</v>
      </c>
      <c r="D1222" s="3" t="s">
        <v>3486</v>
      </c>
      <c r="E1222" s="2">
        <v>2020</v>
      </c>
      <c r="F1222" s="3" t="s">
        <v>3201</v>
      </c>
      <c r="G1222" s="2" t="s">
        <v>12</v>
      </c>
      <c r="H1222" s="3" t="s">
        <v>3201</v>
      </c>
      <c r="I1222" s="12" t="s">
        <v>3204</v>
      </c>
    </row>
    <row r="1223" spans="1:9" ht="30" x14ac:dyDescent="0.25">
      <c r="A1223" s="2">
        <v>1220</v>
      </c>
      <c r="B1223" s="3" t="s">
        <v>3477</v>
      </c>
      <c r="C1223" s="3" t="s">
        <v>3487</v>
      </c>
      <c r="D1223" s="3" t="s">
        <v>3487</v>
      </c>
      <c r="E1223" s="2">
        <v>2021</v>
      </c>
      <c r="F1223" s="3" t="s">
        <v>3201</v>
      </c>
      <c r="G1223" s="2" t="s">
        <v>12</v>
      </c>
      <c r="H1223" s="3" t="s">
        <v>3201</v>
      </c>
      <c r="I1223" s="12" t="s">
        <v>3204</v>
      </c>
    </row>
    <row r="1224" spans="1:9" ht="30" x14ac:dyDescent="0.25">
      <c r="A1224" s="2">
        <v>1221</v>
      </c>
      <c r="B1224" s="3" t="s">
        <v>3477</v>
      </c>
      <c r="C1224" s="3" t="s">
        <v>3488</v>
      </c>
      <c r="D1224" s="3" t="s">
        <v>3488</v>
      </c>
      <c r="E1224" s="2">
        <v>2021</v>
      </c>
      <c r="F1224" s="3" t="s">
        <v>3201</v>
      </c>
      <c r="G1224" s="2" t="s">
        <v>12</v>
      </c>
      <c r="H1224" s="3" t="s">
        <v>3201</v>
      </c>
      <c r="I1224" s="12" t="s">
        <v>3204</v>
      </c>
    </row>
    <row r="1225" spans="1:9" ht="30" x14ac:dyDescent="0.25">
      <c r="A1225" s="2">
        <v>1222</v>
      </c>
      <c r="B1225" s="3" t="s">
        <v>3477</v>
      </c>
      <c r="C1225" s="3" t="s">
        <v>3489</v>
      </c>
      <c r="D1225" s="3" t="s">
        <v>3489</v>
      </c>
      <c r="E1225" s="2">
        <v>2021</v>
      </c>
      <c r="F1225" s="3" t="s">
        <v>3201</v>
      </c>
      <c r="G1225" s="2" t="s">
        <v>12</v>
      </c>
      <c r="H1225" s="3" t="s">
        <v>3201</v>
      </c>
      <c r="I1225" s="12" t="s">
        <v>3204</v>
      </c>
    </row>
    <row r="1226" spans="1:9" ht="60" x14ac:dyDescent="0.25">
      <c r="A1226" s="2">
        <v>1223</v>
      </c>
      <c r="B1226" s="3" t="s">
        <v>3477</v>
      </c>
      <c r="C1226" s="3" t="s">
        <v>3490</v>
      </c>
      <c r="D1226" s="3" t="s">
        <v>3490</v>
      </c>
      <c r="E1226" s="2">
        <v>2021</v>
      </c>
      <c r="F1226" s="3" t="s">
        <v>3201</v>
      </c>
      <c r="G1226" s="2" t="s">
        <v>12</v>
      </c>
      <c r="H1226" s="3" t="s">
        <v>3201</v>
      </c>
      <c r="I1226" s="12" t="s">
        <v>3204</v>
      </c>
    </row>
    <row r="1227" spans="1:9" ht="30" x14ac:dyDescent="0.25">
      <c r="A1227" s="2">
        <v>1224</v>
      </c>
      <c r="B1227" s="3" t="s">
        <v>3477</v>
      </c>
      <c r="C1227" s="3" t="s">
        <v>3491</v>
      </c>
      <c r="D1227" s="3" t="s">
        <v>3491</v>
      </c>
      <c r="E1227" s="2">
        <v>2022</v>
      </c>
      <c r="F1227" s="3" t="s">
        <v>3201</v>
      </c>
      <c r="G1227" s="2" t="s">
        <v>12</v>
      </c>
      <c r="H1227" s="3" t="s">
        <v>3201</v>
      </c>
      <c r="I1227" s="12" t="s">
        <v>3204</v>
      </c>
    </row>
    <row r="1228" spans="1:9" ht="60" x14ac:dyDescent="0.25">
      <c r="A1228" s="2">
        <v>1225</v>
      </c>
      <c r="B1228" s="3" t="s">
        <v>3477</v>
      </c>
      <c r="C1228" s="3" t="s">
        <v>3492</v>
      </c>
      <c r="D1228" s="3" t="s">
        <v>3492</v>
      </c>
      <c r="E1228" s="2">
        <v>2022</v>
      </c>
      <c r="F1228" s="3" t="s">
        <v>3493</v>
      </c>
      <c r="G1228" s="2" t="s">
        <v>12</v>
      </c>
      <c r="H1228" s="3" t="s">
        <v>3494</v>
      </c>
      <c r="I1228" s="12" t="s">
        <v>3204</v>
      </c>
    </row>
    <row r="1229" spans="1:9" ht="30" x14ac:dyDescent="0.25">
      <c r="A1229" s="2">
        <v>1226</v>
      </c>
      <c r="B1229" s="3" t="s">
        <v>3471</v>
      </c>
      <c r="C1229" s="3" t="s">
        <v>3495</v>
      </c>
      <c r="D1229" s="3" t="s">
        <v>3495</v>
      </c>
      <c r="E1229" s="2">
        <v>2019</v>
      </c>
      <c r="F1229" s="3" t="s">
        <v>3348</v>
      </c>
      <c r="G1229" s="2" t="s">
        <v>12</v>
      </c>
      <c r="H1229" s="3" t="s">
        <v>3496</v>
      </c>
      <c r="I1229" s="12" t="s">
        <v>3204</v>
      </c>
    </row>
    <row r="1230" spans="1:9" ht="60" x14ac:dyDescent="0.25">
      <c r="A1230" s="2">
        <v>1227</v>
      </c>
      <c r="B1230" s="3" t="s">
        <v>3471</v>
      </c>
      <c r="C1230" s="3" t="s">
        <v>3497</v>
      </c>
      <c r="D1230" s="3" t="s">
        <v>3497</v>
      </c>
      <c r="E1230" s="2">
        <v>2023</v>
      </c>
      <c r="F1230" s="3" t="s">
        <v>3201</v>
      </c>
      <c r="G1230" s="2" t="s">
        <v>12</v>
      </c>
      <c r="H1230" s="3" t="s">
        <v>3498</v>
      </c>
      <c r="I1230" s="12" t="s">
        <v>3204</v>
      </c>
    </row>
    <row r="1231" spans="1:9" ht="60" x14ac:dyDescent="0.25">
      <c r="A1231" s="2">
        <v>1228</v>
      </c>
      <c r="B1231" s="3" t="s">
        <v>3471</v>
      </c>
      <c r="C1231" s="3" t="s">
        <v>3499</v>
      </c>
      <c r="D1231" s="3" t="s">
        <v>3499</v>
      </c>
      <c r="E1231" s="2">
        <v>2022</v>
      </c>
      <c r="F1231" s="3" t="s">
        <v>3348</v>
      </c>
      <c r="G1231" s="2" t="s">
        <v>12</v>
      </c>
      <c r="H1231" s="3" t="s">
        <v>3500</v>
      </c>
      <c r="I1231" s="12" t="s">
        <v>3204</v>
      </c>
    </row>
    <row r="1232" spans="1:9" ht="60" x14ac:dyDescent="0.25">
      <c r="A1232" s="2">
        <v>1229</v>
      </c>
      <c r="B1232" s="3" t="s">
        <v>3471</v>
      </c>
      <c r="C1232" s="3" t="s">
        <v>3501</v>
      </c>
      <c r="D1232" s="3" t="s">
        <v>3501</v>
      </c>
      <c r="E1232" s="2">
        <v>2020</v>
      </c>
      <c r="F1232" s="3" t="s">
        <v>3348</v>
      </c>
      <c r="G1232" s="2" t="s">
        <v>12</v>
      </c>
      <c r="H1232" s="3" t="s">
        <v>3502</v>
      </c>
      <c r="I1232" s="12" t="s">
        <v>3204</v>
      </c>
    </row>
    <row r="1233" spans="1:9" ht="30" x14ac:dyDescent="0.25">
      <c r="A1233" s="2">
        <v>1230</v>
      </c>
      <c r="B1233" s="3" t="s">
        <v>3471</v>
      </c>
      <c r="C1233" s="3" t="s">
        <v>3474</v>
      </c>
      <c r="D1233" s="3" t="s">
        <v>3474</v>
      </c>
      <c r="E1233" s="2">
        <v>2019</v>
      </c>
      <c r="F1233" s="3" t="s">
        <v>3475</v>
      </c>
      <c r="G1233" s="2" t="s">
        <v>12</v>
      </c>
      <c r="H1233" s="3" t="s">
        <v>3476</v>
      </c>
      <c r="I1233" s="12" t="s">
        <v>3204</v>
      </c>
    </row>
    <row r="1234" spans="1:9" ht="30" x14ac:dyDescent="0.25">
      <c r="A1234" s="2">
        <v>1231</v>
      </c>
      <c r="B1234" s="3" t="s">
        <v>3471</v>
      </c>
      <c r="C1234" s="3" t="s">
        <v>3503</v>
      </c>
      <c r="D1234" s="3" t="s">
        <v>3503</v>
      </c>
      <c r="E1234" s="2">
        <v>2021</v>
      </c>
      <c r="F1234" s="3" t="s">
        <v>3348</v>
      </c>
      <c r="G1234" s="2" t="s">
        <v>12</v>
      </c>
      <c r="H1234" s="3" t="s">
        <v>3504</v>
      </c>
      <c r="I1234" s="12" t="s">
        <v>3204</v>
      </c>
    </row>
    <row r="1235" spans="1:9" ht="30" x14ac:dyDescent="0.25">
      <c r="A1235" s="2">
        <v>1232</v>
      </c>
      <c r="B1235" s="3" t="s">
        <v>3471</v>
      </c>
      <c r="C1235" s="3" t="s">
        <v>3505</v>
      </c>
      <c r="D1235" s="3" t="s">
        <v>3505</v>
      </c>
      <c r="E1235" s="2">
        <v>2023</v>
      </c>
      <c r="F1235" s="3" t="s">
        <v>3348</v>
      </c>
      <c r="G1235" s="2" t="s">
        <v>12</v>
      </c>
      <c r="H1235" s="3" t="s">
        <v>3506</v>
      </c>
      <c r="I1235" s="12" t="s">
        <v>3204</v>
      </c>
    </row>
    <row r="1236" spans="1:9" ht="45" x14ac:dyDescent="0.25">
      <c r="A1236" s="2">
        <v>1233</v>
      </c>
      <c r="B1236" s="3" t="s">
        <v>3507</v>
      </c>
      <c r="C1236" s="3" t="s">
        <v>3508</v>
      </c>
      <c r="D1236" s="3" t="s">
        <v>3508</v>
      </c>
      <c r="E1236" s="2">
        <v>2019</v>
      </c>
      <c r="F1236" s="3" t="s">
        <v>3509</v>
      </c>
      <c r="G1236" s="2" t="s">
        <v>12</v>
      </c>
      <c r="H1236" s="3" t="s">
        <v>3510</v>
      </c>
      <c r="I1236" s="16" t="s">
        <v>3511</v>
      </c>
    </row>
    <row r="1237" spans="1:9" ht="45" x14ac:dyDescent="0.25">
      <c r="A1237" s="2">
        <v>1234</v>
      </c>
      <c r="B1237" s="3" t="s">
        <v>3507</v>
      </c>
      <c r="C1237" s="3" t="s">
        <v>3508</v>
      </c>
      <c r="D1237" s="3" t="s">
        <v>3508</v>
      </c>
      <c r="E1237" s="2">
        <v>2021</v>
      </c>
      <c r="F1237" s="3" t="s">
        <v>3509</v>
      </c>
      <c r="G1237" s="2" t="s">
        <v>12</v>
      </c>
      <c r="H1237" s="3" t="s">
        <v>3510</v>
      </c>
      <c r="I1237" s="16" t="s">
        <v>3511</v>
      </c>
    </row>
    <row r="1238" spans="1:9" ht="60" x14ac:dyDescent="0.25">
      <c r="A1238" s="2">
        <v>1235</v>
      </c>
      <c r="B1238" s="3" t="s">
        <v>3507</v>
      </c>
      <c r="C1238" s="3" t="s">
        <v>3512</v>
      </c>
      <c r="D1238" s="3" t="s">
        <v>3512</v>
      </c>
      <c r="E1238" s="2">
        <v>2021</v>
      </c>
      <c r="F1238" s="3" t="s">
        <v>3513</v>
      </c>
      <c r="G1238" s="2" t="s">
        <v>12</v>
      </c>
      <c r="H1238" s="3" t="s">
        <v>3201</v>
      </c>
      <c r="I1238" s="12" t="s">
        <v>3204</v>
      </c>
    </row>
    <row r="1239" spans="1:9" ht="30" x14ac:dyDescent="0.25">
      <c r="A1239" s="2">
        <v>1236</v>
      </c>
      <c r="B1239" s="3" t="s">
        <v>3507</v>
      </c>
      <c r="C1239" s="3" t="s">
        <v>3514</v>
      </c>
      <c r="D1239" s="3" t="s">
        <v>3514</v>
      </c>
      <c r="E1239" s="2">
        <v>2021</v>
      </c>
      <c r="F1239" s="3" t="s">
        <v>3515</v>
      </c>
      <c r="G1239" s="2" t="s">
        <v>12</v>
      </c>
      <c r="H1239" s="3" t="s">
        <v>3516</v>
      </c>
      <c r="I1239" s="12" t="s">
        <v>3204</v>
      </c>
    </row>
    <row r="1240" spans="1:9" ht="30" x14ac:dyDescent="0.25">
      <c r="A1240" s="2">
        <v>1237</v>
      </c>
      <c r="B1240" s="3" t="s">
        <v>3507</v>
      </c>
      <c r="C1240" s="3" t="s">
        <v>3517</v>
      </c>
      <c r="D1240" s="3" t="s">
        <v>3517</v>
      </c>
      <c r="E1240" s="2">
        <v>2021</v>
      </c>
      <c r="F1240" s="3" t="s">
        <v>3515</v>
      </c>
      <c r="G1240" s="2" t="s">
        <v>12</v>
      </c>
      <c r="H1240" s="3" t="s">
        <v>3518</v>
      </c>
      <c r="I1240" s="12" t="s">
        <v>3204</v>
      </c>
    </row>
    <row r="1241" spans="1:9" ht="60" x14ac:dyDescent="0.25">
      <c r="A1241" s="2">
        <v>1238</v>
      </c>
      <c r="B1241" s="3" t="s">
        <v>3507</v>
      </c>
      <c r="C1241" s="3" t="s">
        <v>3519</v>
      </c>
      <c r="D1241" s="3" t="s">
        <v>3519</v>
      </c>
      <c r="E1241" s="2">
        <v>2023</v>
      </c>
      <c r="F1241" s="3" t="s">
        <v>3520</v>
      </c>
      <c r="G1241" s="2" t="s">
        <v>12</v>
      </c>
      <c r="H1241" s="3" t="s">
        <v>3201</v>
      </c>
      <c r="I1241" s="16" t="s">
        <v>3521</v>
      </c>
    </row>
    <row r="1242" spans="1:9" ht="30" x14ac:dyDescent="0.25">
      <c r="A1242" s="2">
        <v>1239</v>
      </c>
      <c r="B1242" s="3" t="s">
        <v>3522</v>
      </c>
      <c r="C1242" s="3" t="s">
        <v>3523</v>
      </c>
      <c r="D1242" s="3" t="s">
        <v>3523</v>
      </c>
      <c r="E1242" s="2">
        <v>2020</v>
      </c>
      <c r="F1242" s="3" t="s">
        <v>3201</v>
      </c>
      <c r="G1242" s="2" t="s">
        <v>12</v>
      </c>
      <c r="H1242" s="3" t="s">
        <v>3524</v>
      </c>
      <c r="I1242" s="12" t="s">
        <v>3204</v>
      </c>
    </row>
    <row r="1243" spans="1:9" ht="60" x14ac:dyDescent="0.25">
      <c r="A1243" s="2">
        <v>1240</v>
      </c>
      <c r="B1243" s="3" t="s">
        <v>3522</v>
      </c>
      <c r="C1243" s="3" t="s">
        <v>3525</v>
      </c>
      <c r="D1243" s="3" t="s">
        <v>3525</v>
      </c>
      <c r="E1243" s="2">
        <v>2020</v>
      </c>
      <c r="F1243" s="3" t="s">
        <v>3201</v>
      </c>
      <c r="G1243" s="2" t="s">
        <v>12</v>
      </c>
      <c r="H1243" s="3" t="s">
        <v>3201</v>
      </c>
      <c r="I1243" s="12" t="s">
        <v>3204</v>
      </c>
    </row>
    <row r="1244" spans="1:9" ht="45" x14ac:dyDescent="0.25">
      <c r="A1244" s="2">
        <v>1241</v>
      </c>
      <c r="B1244" s="3" t="s">
        <v>3522</v>
      </c>
      <c r="C1244" s="3" t="s">
        <v>3526</v>
      </c>
      <c r="D1244" s="3" t="s">
        <v>3526</v>
      </c>
      <c r="E1244" s="2">
        <v>2020</v>
      </c>
      <c r="F1244" s="3" t="s">
        <v>3527</v>
      </c>
      <c r="G1244" s="2" t="s">
        <v>12</v>
      </c>
      <c r="H1244" s="3" t="s">
        <v>3528</v>
      </c>
      <c r="I1244" s="12" t="s">
        <v>3204</v>
      </c>
    </row>
    <row r="1245" spans="1:9" ht="45" x14ac:dyDescent="0.25">
      <c r="A1245" s="2">
        <v>1242</v>
      </c>
      <c r="B1245" s="3" t="s">
        <v>3522</v>
      </c>
      <c r="C1245" s="3" t="s">
        <v>3529</v>
      </c>
      <c r="D1245" s="3" t="s">
        <v>3529</v>
      </c>
      <c r="E1245" s="2">
        <v>2020</v>
      </c>
      <c r="F1245" s="3" t="s">
        <v>3527</v>
      </c>
      <c r="G1245" s="2" t="s">
        <v>12</v>
      </c>
      <c r="H1245" s="3" t="s">
        <v>3530</v>
      </c>
      <c r="I1245" s="15" t="s">
        <v>3204</v>
      </c>
    </row>
    <row r="1246" spans="1:9" ht="45" x14ac:dyDescent="0.25">
      <c r="A1246" s="2">
        <v>1243</v>
      </c>
      <c r="B1246" s="3" t="s">
        <v>3531</v>
      </c>
      <c r="C1246" s="3" t="s">
        <v>3532</v>
      </c>
      <c r="D1246" s="3" t="s">
        <v>3532</v>
      </c>
      <c r="E1246" s="2">
        <v>2022</v>
      </c>
      <c r="F1246" s="3" t="s">
        <v>3533</v>
      </c>
      <c r="G1246" s="2" t="s">
        <v>12</v>
      </c>
      <c r="H1246" s="3" t="s">
        <v>3534</v>
      </c>
      <c r="I1246" s="15" t="s">
        <v>3204</v>
      </c>
    </row>
    <row r="1247" spans="1:9" ht="30" x14ac:dyDescent="0.25">
      <c r="A1247" s="2">
        <v>1244</v>
      </c>
      <c r="B1247" s="3" t="s">
        <v>3531</v>
      </c>
      <c r="C1247" s="3" t="s">
        <v>3535</v>
      </c>
      <c r="D1247" s="3" t="s">
        <v>3535</v>
      </c>
      <c r="E1247" s="2">
        <v>2022</v>
      </c>
      <c r="F1247" s="3" t="s">
        <v>3536</v>
      </c>
      <c r="G1247" s="2" t="s">
        <v>12</v>
      </c>
      <c r="H1247" s="3" t="s">
        <v>3537</v>
      </c>
      <c r="I1247" s="15" t="s">
        <v>3204</v>
      </c>
    </row>
    <row r="1248" spans="1:9" ht="30" x14ac:dyDescent="0.25">
      <c r="A1248" s="2">
        <v>1245</v>
      </c>
      <c r="B1248" s="3" t="s">
        <v>3531</v>
      </c>
      <c r="C1248" s="3" t="s">
        <v>3538</v>
      </c>
      <c r="D1248" s="3" t="s">
        <v>3538</v>
      </c>
      <c r="E1248" s="2">
        <v>2023</v>
      </c>
      <c r="F1248" s="3" t="s">
        <v>3539</v>
      </c>
      <c r="G1248" s="2" t="s">
        <v>12</v>
      </c>
      <c r="H1248" s="3" t="s">
        <v>3540</v>
      </c>
      <c r="I1248" s="15" t="s">
        <v>3204</v>
      </c>
    </row>
    <row r="1249" spans="1:9" ht="30" x14ac:dyDescent="0.25">
      <c r="A1249" s="2">
        <v>1246</v>
      </c>
      <c r="B1249" s="3" t="s">
        <v>3541</v>
      </c>
      <c r="C1249" s="3" t="s">
        <v>3542</v>
      </c>
      <c r="D1249" s="3" t="s">
        <v>3542</v>
      </c>
      <c r="E1249" s="2">
        <v>2022</v>
      </c>
      <c r="F1249" s="3" t="s">
        <v>3543</v>
      </c>
      <c r="G1249" s="2" t="s">
        <v>12</v>
      </c>
      <c r="H1249" s="3" t="s">
        <v>3544</v>
      </c>
      <c r="I1249" s="15" t="s">
        <v>3204</v>
      </c>
    </row>
    <row r="1250" spans="1:9" ht="30" x14ac:dyDescent="0.25">
      <c r="A1250" s="2">
        <v>1247</v>
      </c>
      <c r="B1250" s="3" t="s">
        <v>3545</v>
      </c>
      <c r="C1250" s="3" t="s">
        <v>3546</v>
      </c>
      <c r="D1250" s="3" t="s">
        <v>3546</v>
      </c>
      <c r="E1250" s="2">
        <v>2020</v>
      </c>
      <c r="F1250" s="3" t="s">
        <v>3547</v>
      </c>
      <c r="G1250" s="2" t="s">
        <v>12</v>
      </c>
      <c r="H1250" s="3" t="s">
        <v>3548</v>
      </c>
      <c r="I1250" s="12" t="s">
        <v>3204</v>
      </c>
    </row>
    <row r="1251" spans="1:9" ht="30" x14ac:dyDescent="0.25">
      <c r="A1251" s="2">
        <v>1248</v>
      </c>
      <c r="B1251" s="3" t="s">
        <v>3545</v>
      </c>
      <c r="C1251" s="3" t="s">
        <v>3549</v>
      </c>
      <c r="D1251" s="3" t="s">
        <v>3549</v>
      </c>
      <c r="E1251" s="2">
        <v>2020</v>
      </c>
      <c r="F1251" s="3" t="s">
        <v>3550</v>
      </c>
      <c r="G1251" s="2" t="s">
        <v>12</v>
      </c>
      <c r="H1251" s="3" t="s">
        <v>3551</v>
      </c>
      <c r="I1251" s="15" t="s">
        <v>3204</v>
      </c>
    </row>
    <row r="1252" spans="1:9" ht="30" x14ac:dyDescent="0.25">
      <c r="A1252" s="2">
        <v>1249</v>
      </c>
      <c r="B1252" s="3" t="s">
        <v>3552</v>
      </c>
      <c r="C1252" s="3" t="s">
        <v>3553</v>
      </c>
      <c r="D1252" s="3" t="s">
        <v>3553</v>
      </c>
      <c r="E1252" s="2">
        <v>2020</v>
      </c>
      <c r="F1252" s="3" t="s">
        <v>3348</v>
      </c>
      <c r="G1252" s="2" t="s">
        <v>12</v>
      </c>
      <c r="H1252" s="3" t="s">
        <v>3348</v>
      </c>
      <c r="I1252" s="15" t="s">
        <v>3204</v>
      </c>
    </row>
    <row r="1253" spans="1:9" ht="30" x14ac:dyDescent="0.25">
      <c r="A1253" s="2">
        <v>1250</v>
      </c>
      <c r="B1253" s="3" t="s">
        <v>3545</v>
      </c>
      <c r="C1253" s="3" t="s">
        <v>3554</v>
      </c>
      <c r="D1253" s="3" t="s">
        <v>3554</v>
      </c>
      <c r="E1253" s="2">
        <v>2020</v>
      </c>
      <c r="F1253" s="3" t="s">
        <v>3348</v>
      </c>
      <c r="G1253" s="2" t="s">
        <v>12</v>
      </c>
      <c r="H1253" s="3" t="s">
        <v>3348</v>
      </c>
      <c r="I1253" s="15" t="s">
        <v>3204</v>
      </c>
    </row>
    <row r="1254" spans="1:9" ht="45" x14ac:dyDescent="0.25">
      <c r="A1254" s="2">
        <v>1251</v>
      </c>
      <c r="B1254" s="3" t="s">
        <v>3555</v>
      </c>
      <c r="C1254" s="3" t="s">
        <v>3556</v>
      </c>
      <c r="D1254" s="3" t="s">
        <v>3556</v>
      </c>
      <c r="E1254" s="2">
        <v>2022</v>
      </c>
      <c r="F1254" s="3">
        <v>9781684878994</v>
      </c>
      <c r="G1254" s="2" t="s">
        <v>12</v>
      </c>
      <c r="H1254" s="3" t="s">
        <v>3557</v>
      </c>
      <c r="I1254" s="15" t="s">
        <v>3204</v>
      </c>
    </row>
    <row r="1255" spans="1:9" ht="30" x14ac:dyDescent="0.25">
      <c r="A1255" s="2">
        <v>1252</v>
      </c>
      <c r="B1255" s="3" t="s">
        <v>3558</v>
      </c>
      <c r="C1255" s="3" t="s">
        <v>3559</v>
      </c>
      <c r="D1255" s="3" t="s">
        <v>3559</v>
      </c>
      <c r="E1255" s="2">
        <v>2022</v>
      </c>
      <c r="F1255" s="3">
        <v>9788126933303</v>
      </c>
      <c r="G1255" s="2" t="s">
        <v>12</v>
      </c>
      <c r="H1255" s="3" t="s">
        <v>3560</v>
      </c>
      <c r="I1255" s="15" t="s">
        <v>3204</v>
      </c>
    </row>
    <row r="1256" spans="1:9" ht="30" x14ac:dyDescent="0.25">
      <c r="A1256" s="2">
        <v>1253</v>
      </c>
      <c r="B1256" s="3" t="s">
        <v>3555</v>
      </c>
      <c r="C1256" s="3" t="s">
        <v>3561</v>
      </c>
      <c r="D1256" s="3" t="s">
        <v>3561</v>
      </c>
      <c r="E1256" s="2">
        <v>2023</v>
      </c>
      <c r="F1256" s="3" t="s">
        <v>3562</v>
      </c>
      <c r="G1256" s="2" t="s">
        <v>12</v>
      </c>
      <c r="H1256" s="3" t="s">
        <v>3557</v>
      </c>
      <c r="I1256" s="12" t="s">
        <v>3563</v>
      </c>
    </row>
    <row r="1257" spans="1:9" ht="45" x14ac:dyDescent="0.25">
      <c r="A1257" s="2">
        <v>1254</v>
      </c>
      <c r="B1257" s="3" t="s">
        <v>3564</v>
      </c>
      <c r="C1257" s="3" t="s">
        <v>3565</v>
      </c>
      <c r="D1257" s="3" t="s">
        <v>3565</v>
      </c>
      <c r="E1257" s="2">
        <v>2020</v>
      </c>
      <c r="F1257" s="3" t="s">
        <v>3201</v>
      </c>
      <c r="G1257" s="2" t="s">
        <v>12</v>
      </c>
      <c r="H1257" s="3" t="s">
        <v>3566</v>
      </c>
      <c r="I1257" s="15" t="s">
        <v>3204</v>
      </c>
    </row>
    <row r="1258" spans="1:9" ht="30" x14ac:dyDescent="0.25">
      <c r="A1258" s="2">
        <v>1255</v>
      </c>
      <c r="B1258" s="3" t="s">
        <v>3564</v>
      </c>
      <c r="C1258" s="3" t="s">
        <v>3567</v>
      </c>
      <c r="D1258" s="3" t="s">
        <v>3567</v>
      </c>
      <c r="E1258" s="2">
        <v>2020</v>
      </c>
      <c r="F1258" s="3" t="s">
        <v>3201</v>
      </c>
      <c r="G1258" s="2" t="s">
        <v>12</v>
      </c>
      <c r="H1258" s="3" t="s">
        <v>3568</v>
      </c>
      <c r="I1258" s="15" t="s">
        <v>3204</v>
      </c>
    </row>
    <row r="1259" spans="1:9" ht="30" x14ac:dyDescent="0.25">
      <c r="A1259" s="2">
        <v>1256</v>
      </c>
      <c r="B1259" s="3" t="s">
        <v>3569</v>
      </c>
      <c r="C1259" s="3" t="s">
        <v>3570</v>
      </c>
      <c r="D1259" s="3" t="s">
        <v>3570</v>
      </c>
      <c r="E1259" s="2">
        <v>2021</v>
      </c>
      <c r="F1259" s="3" t="s">
        <v>3571</v>
      </c>
      <c r="G1259" s="2" t="s">
        <v>12</v>
      </c>
      <c r="H1259" s="3" t="s">
        <v>3572</v>
      </c>
      <c r="I1259" s="15" t="s">
        <v>3204</v>
      </c>
    </row>
    <row r="1260" spans="1:9" ht="45" x14ac:dyDescent="0.25">
      <c r="A1260" s="2">
        <v>1257</v>
      </c>
      <c r="B1260" s="3" t="s">
        <v>3573</v>
      </c>
      <c r="C1260" s="3" t="s">
        <v>3574</v>
      </c>
      <c r="D1260" s="3" t="s">
        <v>3574</v>
      </c>
      <c r="E1260" s="2">
        <v>2023</v>
      </c>
      <c r="F1260" s="3">
        <v>9781312085954</v>
      </c>
      <c r="G1260" s="2" t="s">
        <v>12</v>
      </c>
      <c r="H1260" s="3" t="s">
        <v>3575</v>
      </c>
      <c r="I1260" s="15" t="s">
        <v>3204</v>
      </c>
    </row>
    <row r="1261" spans="1:9" ht="60" x14ac:dyDescent="0.25">
      <c r="A1261" s="2">
        <v>1258</v>
      </c>
      <c r="B1261" s="3" t="s">
        <v>3569</v>
      </c>
      <c r="C1261" s="3" t="s">
        <v>3576</v>
      </c>
      <c r="D1261" s="3" t="s">
        <v>3576</v>
      </c>
      <c r="E1261" s="2">
        <v>2023</v>
      </c>
      <c r="F1261" s="3">
        <v>9781387576784</v>
      </c>
      <c r="G1261" s="2" t="s">
        <v>12</v>
      </c>
      <c r="H1261" s="3" t="s">
        <v>3577</v>
      </c>
      <c r="I1261" s="15" t="s">
        <v>3204</v>
      </c>
    </row>
    <row r="1262" spans="1:9" ht="60" x14ac:dyDescent="0.25">
      <c r="A1262" s="2">
        <v>1259</v>
      </c>
      <c r="B1262" s="3" t="s">
        <v>3578</v>
      </c>
      <c r="C1262" s="3" t="s">
        <v>3579</v>
      </c>
      <c r="D1262" s="3" t="s">
        <v>3579</v>
      </c>
      <c r="E1262" s="2">
        <v>2022</v>
      </c>
      <c r="F1262" s="3">
        <v>9781003186304</v>
      </c>
      <c r="G1262" s="2" t="s">
        <v>12</v>
      </c>
      <c r="H1262" s="3" t="s">
        <v>3580</v>
      </c>
      <c r="I1262" s="15" t="s">
        <v>3204</v>
      </c>
    </row>
    <row r="1263" spans="1:9" ht="75" x14ac:dyDescent="0.25">
      <c r="A1263" s="2">
        <v>1260</v>
      </c>
      <c r="B1263" s="3" t="s">
        <v>3578</v>
      </c>
      <c r="C1263" s="3" t="s">
        <v>3581</v>
      </c>
      <c r="D1263" s="3" t="s">
        <v>3581</v>
      </c>
      <c r="E1263" s="2">
        <v>2023</v>
      </c>
      <c r="F1263" s="3">
        <v>9788119761746</v>
      </c>
      <c r="G1263" s="2" t="s">
        <v>12</v>
      </c>
      <c r="H1263" s="3" t="s">
        <v>3582</v>
      </c>
      <c r="I1263" s="15" t="s">
        <v>3204</v>
      </c>
    </row>
    <row r="1264" spans="1:9" ht="30" x14ac:dyDescent="0.25">
      <c r="A1264" s="2">
        <v>1261</v>
      </c>
      <c r="B1264" s="3" t="s">
        <v>3583</v>
      </c>
      <c r="C1264" s="3" t="s">
        <v>3584</v>
      </c>
      <c r="D1264" s="3" t="s">
        <v>3584</v>
      </c>
      <c r="E1264" s="2">
        <v>2021</v>
      </c>
      <c r="F1264" s="3" t="s">
        <v>3585</v>
      </c>
      <c r="G1264" s="2" t="s">
        <v>12</v>
      </c>
      <c r="H1264" s="3" t="s">
        <v>3586</v>
      </c>
      <c r="I1264" s="12" t="s">
        <v>3204</v>
      </c>
    </row>
    <row r="1265" spans="1:9" ht="30" x14ac:dyDescent="0.25">
      <c r="A1265" s="2">
        <v>1262</v>
      </c>
      <c r="B1265" s="3" t="s">
        <v>3587</v>
      </c>
      <c r="C1265" s="3" t="s">
        <v>3588</v>
      </c>
      <c r="D1265" s="3" t="s">
        <v>3588</v>
      </c>
      <c r="E1265" s="2">
        <v>2019</v>
      </c>
      <c r="F1265" s="3" t="s">
        <v>3585</v>
      </c>
      <c r="G1265" s="2" t="s">
        <v>12</v>
      </c>
      <c r="H1265" s="3" t="s">
        <v>3586</v>
      </c>
      <c r="I1265" s="12" t="s">
        <v>3204</v>
      </c>
    </row>
    <row r="1266" spans="1:9" ht="30" x14ac:dyDescent="0.25">
      <c r="A1266" s="2">
        <v>1263</v>
      </c>
      <c r="B1266" s="3" t="s">
        <v>3589</v>
      </c>
      <c r="C1266" s="3" t="s">
        <v>3590</v>
      </c>
      <c r="D1266" s="3" t="s">
        <v>3590</v>
      </c>
      <c r="E1266" s="2">
        <v>2019</v>
      </c>
      <c r="F1266" s="3">
        <v>9781545744925</v>
      </c>
      <c r="G1266" s="2" t="s">
        <v>12</v>
      </c>
      <c r="H1266" s="3" t="s">
        <v>3591</v>
      </c>
      <c r="I1266" s="12" t="s">
        <v>3204</v>
      </c>
    </row>
    <row r="1267" spans="1:9" ht="30" x14ac:dyDescent="0.25">
      <c r="A1267" s="2">
        <v>1264</v>
      </c>
      <c r="B1267" s="3" t="s">
        <v>3592</v>
      </c>
      <c r="C1267" s="3" t="s">
        <v>3593</v>
      </c>
      <c r="D1267" s="3" t="s">
        <v>3593</v>
      </c>
      <c r="E1267" s="2">
        <v>2019</v>
      </c>
      <c r="F1267" s="3">
        <v>0</v>
      </c>
      <c r="G1267" s="2" t="s">
        <v>12</v>
      </c>
      <c r="H1267" s="3" t="s">
        <v>3594</v>
      </c>
      <c r="I1267" s="15" t="s">
        <v>3204</v>
      </c>
    </row>
    <row r="1268" spans="1:9" ht="30" x14ac:dyDescent="0.25">
      <c r="A1268" s="2">
        <v>1265</v>
      </c>
      <c r="B1268" s="3" t="s">
        <v>3595</v>
      </c>
      <c r="C1268" s="3" t="s">
        <v>3596</v>
      </c>
      <c r="D1268" s="3" t="s">
        <v>3596</v>
      </c>
      <c r="E1268" s="2">
        <v>2019</v>
      </c>
      <c r="F1268" s="3" t="s">
        <v>3597</v>
      </c>
      <c r="G1268" s="2" t="s">
        <v>12</v>
      </c>
      <c r="H1268" s="3" t="s">
        <v>3598</v>
      </c>
      <c r="I1268" s="15" t="s">
        <v>3204</v>
      </c>
    </row>
    <row r="1269" spans="1:9" ht="30" x14ac:dyDescent="0.25">
      <c r="A1269" s="2">
        <v>1266</v>
      </c>
      <c r="B1269" s="3" t="s">
        <v>3599</v>
      </c>
      <c r="C1269" s="3" t="s">
        <v>3600</v>
      </c>
      <c r="D1269" s="3" t="s">
        <v>3600</v>
      </c>
      <c r="E1269" s="2">
        <v>2019</v>
      </c>
      <c r="F1269" s="3" t="s">
        <v>3201</v>
      </c>
      <c r="G1269" s="2" t="s">
        <v>12</v>
      </c>
      <c r="H1269" s="3" t="s">
        <v>3601</v>
      </c>
      <c r="I1269" s="12" t="s">
        <v>3204</v>
      </c>
    </row>
    <row r="1270" spans="1:9" ht="30" x14ac:dyDescent="0.25">
      <c r="A1270" s="2">
        <v>1267</v>
      </c>
      <c r="B1270" s="3" t="s">
        <v>3599</v>
      </c>
      <c r="C1270" s="3" t="s">
        <v>3602</v>
      </c>
      <c r="D1270" s="3" t="s">
        <v>3602</v>
      </c>
      <c r="E1270" s="2">
        <v>2019</v>
      </c>
      <c r="F1270" s="3" t="s">
        <v>3201</v>
      </c>
      <c r="G1270" s="2" t="s">
        <v>12</v>
      </c>
      <c r="H1270" s="3" t="s">
        <v>3601</v>
      </c>
      <c r="I1270" s="12" t="s">
        <v>3204</v>
      </c>
    </row>
    <row r="1271" spans="1:9" ht="45" x14ac:dyDescent="0.25">
      <c r="A1271" s="2">
        <v>1268</v>
      </c>
      <c r="B1271" s="3" t="s">
        <v>3599</v>
      </c>
      <c r="C1271" s="3" t="s">
        <v>3603</v>
      </c>
      <c r="D1271" s="3" t="s">
        <v>3603</v>
      </c>
      <c r="E1271" s="2">
        <v>2019</v>
      </c>
      <c r="F1271" s="3" t="s">
        <v>3604</v>
      </c>
      <c r="G1271" s="2" t="s">
        <v>12</v>
      </c>
      <c r="H1271" s="3" t="s">
        <v>3605</v>
      </c>
      <c r="I1271" s="12" t="s">
        <v>3204</v>
      </c>
    </row>
    <row r="1272" spans="1:9" ht="30" x14ac:dyDescent="0.25">
      <c r="A1272" s="2">
        <v>1269</v>
      </c>
      <c r="B1272" s="3" t="s">
        <v>3606</v>
      </c>
      <c r="C1272" s="3" t="s">
        <v>3607</v>
      </c>
      <c r="D1272" s="3" t="s">
        <v>3607</v>
      </c>
      <c r="E1272" s="2">
        <v>2019</v>
      </c>
      <c r="F1272" s="3" t="s">
        <v>3608</v>
      </c>
      <c r="G1272" s="2" t="s">
        <v>12</v>
      </c>
      <c r="H1272" s="3" t="s">
        <v>3609</v>
      </c>
      <c r="I1272" s="12" t="s">
        <v>3204</v>
      </c>
    </row>
    <row r="1273" spans="1:9" ht="30" x14ac:dyDescent="0.25">
      <c r="A1273" s="2">
        <v>1270</v>
      </c>
      <c r="B1273" s="3" t="s">
        <v>3610</v>
      </c>
      <c r="C1273" s="3" t="s">
        <v>3611</v>
      </c>
      <c r="D1273" s="3" t="s">
        <v>3611</v>
      </c>
      <c r="E1273" s="2">
        <v>2019</v>
      </c>
      <c r="F1273" s="3" t="s">
        <v>3612</v>
      </c>
      <c r="G1273" s="2" t="s">
        <v>12</v>
      </c>
      <c r="H1273" s="3" t="s">
        <v>3613</v>
      </c>
      <c r="I1273" s="12" t="s">
        <v>3204</v>
      </c>
    </row>
    <row r="1274" spans="1:9" ht="30" x14ac:dyDescent="0.25">
      <c r="A1274" s="2">
        <v>1271</v>
      </c>
      <c r="B1274" s="3" t="s">
        <v>3606</v>
      </c>
      <c r="C1274" s="3" t="s">
        <v>3614</v>
      </c>
      <c r="D1274" s="3" t="s">
        <v>3614</v>
      </c>
      <c r="E1274" s="2">
        <v>2019</v>
      </c>
      <c r="F1274" s="3" t="s">
        <v>3615</v>
      </c>
      <c r="G1274" s="2" t="s">
        <v>12</v>
      </c>
      <c r="H1274" s="3" t="s">
        <v>3616</v>
      </c>
      <c r="I1274" s="12" t="s">
        <v>3204</v>
      </c>
    </row>
    <row r="1275" spans="1:9" ht="30" x14ac:dyDescent="0.25">
      <c r="A1275" s="2">
        <v>1272</v>
      </c>
      <c r="B1275" s="3" t="s">
        <v>3606</v>
      </c>
      <c r="C1275" s="3" t="s">
        <v>3617</v>
      </c>
      <c r="D1275" s="3" t="s">
        <v>3617</v>
      </c>
      <c r="E1275" s="2">
        <v>2019</v>
      </c>
      <c r="F1275" s="3" t="s">
        <v>3618</v>
      </c>
      <c r="G1275" s="2" t="s">
        <v>12</v>
      </c>
      <c r="H1275" s="3" t="s">
        <v>3619</v>
      </c>
      <c r="I1275" s="12" t="s">
        <v>3204</v>
      </c>
    </row>
    <row r="1276" spans="1:9" ht="30" x14ac:dyDescent="0.25">
      <c r="A1276" s="2">
        <v>1273</v>
      </c>
      <c r="B1276" s="3" t="s">
        <v>3606</v>
      </c>
      <c r="C1276" s="3" t="s">
        <v>3620</v>
      </c>
      <c r="D1276" s="3" t="s">
        <v>3620</v>
      </c>
      <c r="E1276" s="2">
        <v>2019</v>
      </c>
      <c r="F1276" s="3" t="s">
        <v>3621</v>
      </c>
      <c r="G1276" s="2" t="s">
        <v>12</v>
      </c>
      <c r="H1276" s="3" t="s">
        <v>3622</v>
      </c>
      <c r="I1276" s="12" t="s">
        <v>3204</v>
      </c>
    </row>
    <row r="1277" spans="1:9" ht="30" x14ac:dyDescent="0.25">
      <c r="A1277" s="2">
        <v>1274</v>
      </c>
      <c r="B1277" s="3" t="s">
        <v>3606</v>
      </c>
      <c r="C1277" s="3" t="s">
        <v>3623</v>
      </c>
      <c r="D1277" s="3" t="s">
        <v>3623</v>
      </c>
      <c r="E1277" s="2">
        <v>2019</v>
      </c>
      <c r="F1277" s="3" t="s">
        <v>3624</v>
      </c>
      <c r="G1277" s="2" t="s">
        <v>12</v>
      </c>
      <c r="H1277" s="3" t="s">
        <v>3616</v>
      </c>
      <c r="I1277" s="12" t="s">
        <v>3204</v>
      </c>
    </row>
    <row r="1278" spans="1:9" ht="30" x14ac:dyDescent="0.25">
      <c r="A1278" s="2">
        <v>1275</v>
      </c>
      <c r="B1278" s="3" t="s">
        <v>3606</v>
      </c>
      <c r="C1278" s="3" t="s">
        <v>3625</v>
      </c>
      <c r="D1278" s="3" t="s">
        <v>3625</v>
      </c>
      <c r="E1278" s="2">
        <v>2019</v>
      </c>
      <c r="F1278" s="3" t="s">
        <v>3626</v>
      </c>
      <c r="G1278" s="2" t="s">
        <v>12</v>
      </c>
      <c r="H1278" s="3" t="s">
        <v>3627</v>
      </c>
      <c r="I1278" s="12" t="s">
        <v>3204</v>
      </c>
    </row>
    <row r="1279" spans="1:9" ht="30" x14ac:dyDescent="0.25">
      <c r="A1279" s="2">
        <v>1276</v>
      </c>
      <c r="B1279" s="3" t="s">
        <v>3610</v>
      </c>
      <c r="C1279" s="3" t="s">
        <v>3620</v>
      </c>
      <c r="D1279" s="3" t="s">
        <v>3620</v>
      </c>
      <c r="E1279" s="2">
        <v>2019</v>
      </c>
      <c r="F1279" s="3" t="s">
        <v>3621</v>
      </c>
      <c r="G1279" s="2" t="s">
        <v>12</v>
      </c>
      <c r="H1279" s="3" t="s">
        <v>3622</v>
      </c>
      <c r="I1279" s="12" t="s">
        <v>3204</v>
      </c>
    </row>
    <row r="1280" spans="1:9" ht="30" x14ac:dyDescent="0.25">
      <c r="A1280" s="2">
        <v>1277</v>
      </c>
      <c r="B1280" s="3" t="s">
        <v>3606</v>
      </c>
      <c r="C1280" s="3" t="s">
        <v>3620</v>
      </c>
      <c r="D1280" s="3" t="s">
        <v>3620</v>
      </c>
      <c r="E1280" s="2">
        <v>2019</v>
      </c>
      <c r="F1280" s="3" t="s">
        <v>3621</v>
      </c>
      <c r="G1280" s="2" t="s">
        <v>12</v>
      </c>
      <c r="H1280" s="3" t="s">
        <v>3622</v>
      </c>
      <c r="I1280" s="12" t="s">
        <v>3204</v>
      </c>
    </row>
    <row r="1281" spans="1:9" ht="30" x14ac:dyDescent="0.25">
      <c r="A1281" s="2">
        <v>1278</v>
      </c>
      <c r="B1281" s="3" t="s">
        <v>3610</v>
      </c>
      <c r="C1281" s="3" t="s">
        <v>3628</v>
      </c>
      <c r="D1281" s="3" t="s">
        <v>3628</v>
      </c>
      <c r="E1281" s="2">
        <v>2019</v>
      </c>
      <c r="F1281" s="3" t="s">
        <v>3604</v>
      </c>
      <c r="G1281" s="2" t="s">
        <v>12</v>
      </c>
      <c r="H1281" s="3" t="s">
        <v>3629</v>
      </c>
      <c r="I1281" s="12" t="s">
        <v>3204</v>
      </c>
    </row>
    <row r="1282" spans="1:9" ht="30" x14ac:dyDescent="0.25">
      <c r="A1282" s="2">
        <v>1279</v>
      </c>
      <c r="B1282" s="3" t="s">
        <v>3606</v>
      </c>
      <c r="C1282" s="3" t="s">
        <v>3628</v>
      </c>
      <c r="D1282" s="3" t="s">
        <v>3628</v>
      </c>
      <c r="E1282" s="2">
        <v>2019</v>
      </c>
      <c r="F1282" s="3" t="s">
        <v>3604</v>
      </c>
      <c r="G1282" s="2" t="s">
        <v>12</v>
      </c>
      <c r="H1282" s="3" t="s">
        <v>3630</v>
      </c>
      <c r="I1282" s="12" t="s">
        <v>3204</v>
      </c>
    </row>
    <row r="1283" spans="1:9" ht="30" x14ac:dyDescent="0.25">
      <c r="A1283" s="2">
        <v>1280</v>
      </c>
      <c r="B1283" s="3" t="s">
        <v>3606</v>
      </c>
      <c r="C1283" s="3" t="s">
        <v>3628</v>
      </c>
      <c r="D1283" s="3" t="s">
        <v>3628</v>
      </c>
      <c r="E1283" s="2">
        <v>2019</v>
      </c>
      <c r="F1283" s="3" t="s">
        <v>3604</v>
      </c>
      <c r="G1283" s="2" t="s">
        <v>12</v>
      </c>
      <c r="H1283" s="3" t="s">
        <v>3629</v>
      </c>
      <c r="I1283" s="12" t="s">
        <v>3204</v>
      </c>
    </row>
    <row r="1284" spans="1:9" ht="30" x14ac:dyDescent="0.25">
      <c r="A1284" s="2">
        <v>1281</v>
      </c>
      <c r="B1284" s="3" t="s">
        <v>3610</v>
      </c>
      <c r="C1284" s="3" t="s">
        <v>3628</v>
      </c>
      <c r="D1284" s="3" t="s">
        <v>3628</v>
      </c>
      <c r="E1284" s="2">
        <v>2019</v>
      </c>
      <c r="F1284" s="3" t="s">
        <v>3604</v>
      </c>
      <c r="G1284" s="2" t="s">
        <v>12</v>
      </c>
      <c r="H1284" s="3" t="s">
        <v>3629</v>
      </c>
      <c r="I1284" s="12" t="s">
        <v>3204</v>
      </c>
    </row>
    <row r="1285" spans="1:9" ht="30" x14ac:dyDescent="0.25">
      <c r="A1285" s="2">
        <v>1282</v>
      </c>
      <c r="B1285" s="3" t="s">
        <v>3606</v>
      </c>
      <c r="C1285" s="3" t="s">
        <v>3628</v>
      </c>
      <c r="D1285" s="3" t="s">
        <v>3628</v>
      </c>
      <c r="E1285" s="2">
        <v>2019</v>
      </c>
      <c r="F1285" s="3" t="s">
        <v>3604</v>
      </c>
      <c r="G1285" s="2" t="s">
        <v>12</v>
      </c>
      <c r="H1285" s="3" t="s">
        <v>3629</v>
      </c>
      <c r="I1285" s="12" t="s">
        <v>3204</v>
      </c>
    </row>
    <row r="1286" spans="1:9" ht="30" x14ac:dyDescent="0.25">
      <c r="A1286" s="2">
        <v>1283</v>
      </c>
      <c r="B1286" s="3" t="s">
        <v>3606</v>
      </c>
      <c r="C1286" s="3" t="s">
        <v>3620</v>
      </c>
      <c r="D1286" s="3" t="s">
        <v>3620</v>
      </c>
      <c r="E1286" s="2">
        <v>2019</v>
      </c>
      <c r="F1286" s="3" t="s">
        <v>3621</v>
      </c>
      <c r="G1286" s="2" t="s">
        <v>12</v>
      </c>
      <c r="H1286" s="3" t="s">
        <v>3622</v>
      </c>
      <c r="I1286" s="12" t="s">
        <v>3204</v>
      </c>
    </row>
    <row r="1287" spans="1:9" ht="30" x14ac:dyDescent="0.25">
      <c r="A1287" s="2">
        <v>1284</v>
      </c>
      <c r="B1287" s="3" t="s">
        <v>3606</v>
      </c>
      <c r="C1287" s="3" t="s">
        <v>3628</v>
      </c>
      <c r="D1287" s="3" t="s">
        <v>3628</v>
      </c>
      <c r="E1287" s="2">
        <v>2019</v>
      </c>
      <c r="F1287" s="3" t="s">
        <v>3604</v>
      </c>
      <c r="G1287" s="2" t="s">
        <v>12</v>
      </c>
      <c r="H1287" s="3" t="s">
        <v>3629</v>
      </c>
      <c r="I1287" s="12" t="s">
        <v>3204</v>
      </c>
    </row>
    <row r="1288" spans="1:9" ht="30" x14ac:dyDescent="0.25">
      <c r="A1288" s="2">
        <v>1285</v>
      </c>
      <c r="B1288" s="3" t="s">
        <v>3606</v>
      </c>
      <c r="C1288" s="3" t="s">
        <v>3620</v>
      </c>
      <c r="D1288" s="3" t="s">
        <v>3620</v>
      </c>
      <c r="E1288" s="2">
        <v>2019</v>
      </c>
      <c r="F1288" s="3" t="s">
        <v>3621</v>
      </c>
      <c r="G1288" s="2" t="s">
        <v>12</v>
      </c>
      <c r="H1288" s="3" t="s">
        <v>3622</v>
      </c>
      <c r="I1288" s="12" t="s">
        <v>3204</v>
      </c>
    </row>
    <row r="1289" spans="1:9" ht="30" x14ac:dyDescent="0.25">
      <c r="A1289" s="2">
        <v>1286</v>
      </c>
      <c r="B1289" s="3" t="s">
        <v>3606</v>
      </c>
      <c r="C1289" s="3" t="s">
        <v>3631</v>
      </c>
      <c r="D1289" s="3" t="s">
        <v>3631</v>
      </c>
      <c r="E1289" s="2">
        <v>2019</v>
      </c>
      <c r="F1289" s="3" t="s">
        <v>3632</v>
      </c>
      <c r="G1289" s="2" t="s">
        <v>12</v>
      </c>
      <c r="H1289" s="3" t="s">
        <v>3633</v>
      </c>
      <c r="I1289" s="12" t="s">
        <v>3204</v>
      </c>
    </row>
    <row r="1290" spans="1:9" ht="30" x14ac:dyDescent="0.25">
      <c r="A1290" s="2">
        <v>1287</v>
      </c>
      <c r="B1290" s="3" t="s">
        <v>3634</v>
      </c>
      <c r="C1290" s="3" t="s">
        <v>3635</v>
      </c>
      <c r="D1290" s="3" t="s">
        <v>3635</v>
      </c>
      <c r="E1290" s="2">
        <v>2019</v>
      </c>
      <c r="F1290" s="3" t="s">
        <v>3636</v>
      </c>
      <c r="G1290" s="2" t="s">
        <v>12</v>
      </c>
      <c r="H1290" s="3" t="s">
        <v>3635</v>
      </c>
      <c r="I1290" s="12" t="s">
        <v>3204</v>
      </c>
    </row>
    <row r="1291" spans="1:9" ht="30" x14ac:dyDescent="0.25">
      <c r="A1291" s="2">
        <v>1288</v>
      </c>
      <c r="B1291" s="3" t="s">
        <v>3595</v>
      </c>
      <c r="C1291" s="3" t="s">
        <v>3596</v>
      </c>
      <c r="D1291" s="3" t="s">
        <v>3596</v>
      </c>
      <c r="E1291" s="2">
        <v>2019</v>
      </c>
      <c r="F1291" s="3">
        <v>0</v>
      </c>
      <c r="G1291" s="2" t="s">
        <v>12</v>
      </c>
      <c r="H1291" s="3" t="s">
        <v>3598</v>
      </c>
      <c r="I1291" s="15" t="s">
        <v>3204</v>
      </c>
    </row>
    <row r="1292" spans="1:9" ht="30" x14ac:dyDescent="0.25">
      <c r="A1292" s="2">
        <v>1289</v>
      </c>
      <c r="B1292" s="3" t="s">
        <v>3637</v>
      </c>
      <c r="C1292" s="3" t="s">
        <v>3638</v>
      </c>
      <c r="D1292" s="3" t="s">
        <v>3638</v>
      </c>
      <c r="E1292" s="2">
        <v>2019</v>
      </c>
      <c r="F1292" s="3">
        <v>0</v>
      </c>
      <c r="G1292" s="2" t="s">
        <v>12</v>
      </c>
      <c r="H1292" s="3" t="s">
        <v>3594</v>
      </c>
      <c r="I1292" s="15" t="s">
        <v>3204</v>
      </c>
    </row>
    <row r="1293" spans="1:9" ht="30" x14ac:dyDescent="0.25">
      <c r="A1293" s="2">
        <v>1290</v>
      </c>
      <c r="B1293" s="3" t="s">
        <v>3592</v>
      </c>
      <c r="C1293" s="3" t="s">
        <v>3639</v>
      </c>
      <c r="D1293" s="3" t="s">
        <v>3639</v>
      </c>
      <c r="E1293" s="2">
        <v>2019</v>
      </c>
      <c r="F1293" s="3">
        <v>0</v>
      </c>
      <c r="G1293" s="2" t="s">
        <v>12</v>
      </c>
      <c r="H1293" s="3" t="s">
        <v>3640</v>
      </c>
      <c r="I1293" s="15" t="s">
        <v>3204</v>
      </c>
    </row>
    <row r="1294" spans="1:9" ht="30" x14ac:dyDescent="0.25">
      <c r="A1294" s="2">
        <v>1291</v>
      </c>
      <c r="B1294" s="3" t="s">
        <v>3606</v>
      </c>
      <c r="C1294" s="3" t="s">
        <v>3641</v>
      </c>
      <c r="D1294" s="3" t="s">
        <v>3641</v>
      </c>
      <c r="E1294" s="2">
        <v>2019</v>
      </c>
      <c r="F1294" s="3" t="s">
        <v>3632</v>
      </c>
      <c r="G1294" s="2" t="s">
        <v>12</v>
      </c>
      <c r="H1294" s="3" t="s">
        <v>3633</v>
      </c>
      <c r="I1294" s="12" t="s">
        <v>3204</v>
      </c>
    </row>
    <row r="1295" spans="1:9" ht="30" x14ac:dyDescent="0.25">
      <c r="A1295" s="2">
        <v>1292</v>
      </c>
      <c r="B1295" s="3" t="s">
        <v>3606</v>
      </c>
      <c r="C1295" s="3" t="s">
        <v>3623</v>
      </c>
      <c r="D1295" s="3" t="s">
        <v>3623</v>
      </c>
      <c r="E1295" s="2">
        <v>2019</v>
      </c>
      <c r="F1295" s="3" t="s">
        <v>3624</v>
      </c>
      <c r="G1295" s="2" t="s">
        <v>12</v>
      </c>
      <c r="H1295" s="3" t="s">
        <v>3616</v>
      </c>
      <c r="I1295" s="12" t="s">
        <v>3204</v>
      </c>
    </row>
    <row r="1296" spans="1:9" ht="30" x14ac:dyDescent="0.25">
      <c r="A1296" s="2">
        <v>1293</v>
      </c>
      <c r="B1296" s="3" t="s">
        <v>3610</v>
      </c>
      <c r="C1296" s="3" t="s">
        <v>3625</v>
      </c>
      <c r="D1296" s="3" t="s">
        <v>3625</v>
      </c>
      <c r="E1296" s="2">
        <v>2019</v>
      </c>
      <c r="F1296" s="3" t="s">
        <v>3626</v>
      </c>
      <c r="G1296" s="2" t="s">
        <v>12</v>
      </c>
      <c r="H1296" s="3" t="s">
        <v>3627</v>
      </c>
      <c r="I1296" s="12" t="s">
        <v>3204</v>
      </c>
    </row>
    <row r="1297" spans="1:9" ht="30" x14ac:dyDescent="0.25">
      <c r="A1297" s="2">
        <v>1294</v>
      </c>
      <c r="B1297" s="3" t="s">
        <v>3610</v>
      </c>
      <c r="C1297" s="3" t="s">
        <v>3642</v>
      </c>
      <c r="D1297" s="3" t="s">
        <v>3642</v>
      </c>
      <c r="E1297" s="2">
        <v>2019</v>
      </c>
      <c r="F1297" s="3" t="s">
        <v>3643</v>
      </c>
      <c r="G1297" s="2" t="s">
        <v>12</v>
      </c>
      <c r="H1297" s="3" t="s">
        <v>3644</v>
      </c>
      <c r="I1297" s="12" t="s">
        <v>3204</v>
      </c>
    </row>
    <row r="1298" spans="1:9" ht="30" x14ac:dyDescent="0.25">
      <c r="A1298" s="2">
        <v>1295</v>
      </c>
      <c r="B1298" s="3" t="s">
        <v>3606</v>
      </c>
      <c r="C1298" s="3" t="s">
        <v>3645</v>
      </c>
      <c r="D1298" s="3" t="s">
        <v>3645</v>
      </c>
      <c r="E1298" s="2">
        <v>2020</v>
      </c>
      <c r="F1298" s="3" t="s">
        <v>3646</v>
      </c>
      <c r="G1298" s="2" t="s">
        <v>12</v>
      </c>
      <c r="H1298" s="3" t="s">
        <v>3647</v>
      </c>
      <c r="I1298" s="12" t="s">
        <v>3204</v>
      </c>
    </row>
    <row r="1299" spans="1:9" ht="30" x14ac:dyDescent="0.25">
      <c r="A1299" s="2">
        <v>1296</v>
      </c>
      <c r="B1299" s="3" t="s">
        <v>3606</v>
      </c>
      <c r="C1299" s="3" t="s">
        <v>3628</v>
      </c>
      <c r="D1299" s="3" t="s">
        <v>3628</v>
      </c>
      <c r="E1299" s="2">
        <v>2019</v>
      </c>
      <c r="F1299" s="3" t="s">
        <v>3604</v>
      </c>
      <c r="G1299" s="2" t="s">
        <v>12</v>
      </c>
      <c r="H1299" s="3" t="s">
        <v>3630</v>
      </c>
      <c r="I1299" s="12" t="s">
        <v>3204</v>
      </c>
    </row>
    <row r="1300" spans="1:9" ht="30" x14ac:dyDescent="0.25">
      <c r="A1300" s="2">
        <v>1297</v>
      </c>
      <c r="B1300" s="3" t="s">
        <v>3606</v>
      </c>
      <c r="C1300" s="3" t="s">
        <v>3620</v>
      </c>
      <c r="D1300" s="3" t="s">
        <v>3620</v>
      </c>
      <c r="E1300" s="2">
        <v>2019</v>
      </c>
      <c r="F1300" s="3" t="s">
        <v>3621</v>
      </c>
      <c r="G1300" s="2" t="s">
        <v>12</v>
      </c>
      <c r="H1300" s="3" t="s">
        <v>3622</v>
      </c>
      <c r="I1300" s="12" t="s">
        <v>3204</v>
      </c>
    </row>
    <row r="1301" spans="1:9" ht="45" x14ac:dyDescent="0.25">
      <c r="A1301" s="2">
        <v>1298</v>
      </c>
      <c r="B1301" s="3" t="s">
        <v>3606</v>
      </c>
      <c r="C1301" s="3" t="s">
        <v>3648</v>
      </c>
      <c r="D1301" s="3" t="s">
        <v>3648</v>
      </c>
      <c r="E1301" s="2">
        <v>2020</v>
      </c>
      <c r="F1301" s="3" t="s">
        <v>3649</v>
      </c>
      <c r="G1301" s="2" t="s">
        <v>12</v>
      </c>
      <c r="H1301" s="3" t="s">
        <v>3616</v>
      </c>
      <c r="I1301" s="12" t="s">
        <v>3204</v>
      </c>
    </row>
    <row r="1302" spans="1:9" ht="30" x14ac:dyDescent="0.25">
      <c r="A1302" s="2">
        <v>1299</v>
      </c>
      <c r="B1302" s="3" t="s">
        <v>3606</v>
      </c>
      <c r="C1302" s="3" t="s">
        <v>3628</v>
      </c>
      <c r="D1302" s="3" t="s">
        <v>3628</v>
      </c>
      <c r="E1302" s="2">
        <v>2019</v>
      </c>
      <c r="F1302" s="3" t="s">
        <v>3604</v>
      </c>
      <c r="G1302" s="2" t="s">
        <v>12</v>
      </c>
      <c r="H1302" s="3" t="s">
        <v>3629</v>
      </c>
      <c r="I1302" s="12" t="s">
        <v>3204</v>
      </c>
    </row>
    <row r="1303" spans="1:9" ht="30" x14ac:dyDescent="0.25">
      <c r="A1303" s="2">
        <v>1300</v>
      </c>
      <c r="B1303" s="3" t="s">
        <v>3610</v>
      </c>
      <c r="C1303" s="3" t="s">
        <v>3620</v>
      </c>
      <c r="D1303" s="3" t="s">
        <v>3620</v>
      </c>
      <c r="E1303" s="2">
        <v>2019</v>
      </c>
      <c r="F1303" s="3" t="s">
        <v>3621</v>
      </c>
      <c r="G1303" s="2" t="s">
        <v>12</v>
      </c>
      <c r="H1303" s="3" t="s">
        <v>3622</v>
      </c>
      <c r="I1303" s="12" t="s">
        <v>3204</v>
      </c>
    </row>
    <row r="1304" spans="1:9" ht="30" x14ac:dyDescent="0.25">
      <c r="A1304" s="2">
        <v>1301</v>
      </c>
      <c r="B1304" s="3" t="s">
        <v>3610</v>
      </c>
      <c r="C1304" s="3" t="s">
        <v>3650</v>
      </c>
      <c r="D1304" s="3" t="s">
        <v>3650</v>
      </c>
      <c r="E1304" s="2">
        <v>2020</v>
      </c>
      <c r="F1304" s="3" t="s">
        <v>3651</v>
      </c>
      <c r="G1304" s="2" t="s">
        <v>12</v>
      </c>
      <c r="H1304" s="3" t="s">
        <v>3652</v>
      </c>
      <c r="I1304" s="12" t="s">
        <v>3204</v>
      </c>
    </row>
    <row r="1305" spans="1:9" ht="30" x14ac:dyDescent="0.25">
      <c r="A1305" s="2">
        <v>1302</v>
      </c>
      <c r="B1305" s="3" t="s">
        <v>3606</v>
      </c>
      <c r="C1305" s="3" t="s">
        <v>3653</v>
      </c>
      <c r="D1305" s="3" t="s">
        <v>3653</v>
      </c>
      <c r="E1305" s="2">
        <v>2020</v>
      </c>
      <c r="F1305" s="3" t="s">
        <v>3654</v>
      </c>
      <c r="G1305" s="2" t="s">
        <v>12</v>
      </c>
      <c r="H1305" s="3" t="s">
        <v>3655</v>
      </c>
      <c r="I1305" s="12" t="s">
        <v>3204</v>
      </c>
    </row>
    <row r="1306" spans="1:9" ht="30" x14ac:dyDescent="0.25">
      <c r="A1306" s="2">
        <v>1303</v>
      </c>
      <c r="B1306" s="3" t="s">
        <v>3634</v>
      </c>
      <c r="C1306" s="3" t="s">
        <v>3628</v>
      </c>
      <c r="D1306" s="3" t="s">
        <v>3628</v>
      </c>
      <c r="E1306" s="2">
        <v>2019</v>
      </c>
      <c r="F1306" s="3" t="s">
        <v>3604</v>
      </c>
      <c r="G1306" s="2" t="s">
        <v>12</v>
      </c>
      <c r="H1306" s="3" t="s">
        <v>3656</v>
      </c>
      <c r="I1306" s="12" t="s">
        <v>3204</v>
      </c>
    </row>
    <row r="1307" spans="1:9" ht="30" x14ac:dyDescent="0.25">
      <c r="A1307" s="2">
        <v>1304</v>
      </c>
      <c r="B1307" s="3" t="s">
        <v>3634</v>
      </c>
      <c r="C1307" s="3" t="s">
        <v>3657</v>
      </c>
      <c r="D1307" s="3" t="s">
        <v>3657</v>
      </c>
      <c r="E1307" s="2">
        <v>2020</v>
      </c>
      <c r="F1307" s="3" t="s">
        <v>3658</v>
      </c>
      <c r="G1307" s="2" t="s">
        <v>12</v>
      </c>
      <c r="H1307" s="3" t="s">
        <v>3598</v>
      </c>
      <c r="I1307" s="12" t="s">
        <v>3204</v>
      </c>
    </row>
    <row r="1308" spans="1:9" ht="30" x14ac:dyDescent="0.25">
      <c r="A1308" s="2">
        <v>1305</v>
      </c>
      <c r="B1308" s="3" t="s">
        <v>3634</v>
      </c>
      <c r="C1308" s="3" t="s">
        <v>3659</v>
      </c>
      <c r="D1308" s="3" t="s">
        <v>3659</v>
      </c>
      <c r="E1308" s="2">
        <v>2019</v>
      </c>
      <c r="F1308" s="3" t="s">
        <v>3660</v>
      </c>
      <c r="G1308" s="2" t="s">
        <v>12</v>
      </c>
      <c r="H1308" s="3" t="s">
        <v>3661</v>
      </c>
      <c r="I1308" s="12" t="s">
        <v>3204</v>
      </c>
    </row>
    <row r="1309" spans="1:9" ht="30" x14ac:dyDescent="0.25">
      <c r="A1309" s="2">
        <v>1306</v>
      </c>
      <c r="B1309" s="3" t="s">
        <v>3634</v>
      </c>
      <c r="C1309" s="3" t="s">
        <v>3662</v>
      </c>
      <c r="D1309" s="3" t="s">
        <v>3662</v>
      </c>
      <c r="E1309" s="2">
        <v>2019</v>
      </c>
      <c r="F1309" s="3" t="s">
        <v>3663</v>
      </c>
      <c r="G1309" s="2" t="s">
        <v>12</v>
      </c>
      <c r="H1309" s="3" t="s">
        <v>3661</v>
      </c>
      <c r="I1309" s="12" t="s">
        <v>3204</v>
      </c>
    </row>
    <row r="1310" spans="1:9" ht="30" x14ac:dyDescent="0.25">
      <c r="A1310" s="2">
        <v>1307</v>
      </c>
      <c r="B1310" s="3" t="s">
        <v>3634</v>
      </c>
      <c r="C1310" s="3" t="s">
        <v>3664</v>
      </c>
      <c r="D1310" s="3" t="s">
        <v>3664</v>
      </c>
      <c r="E1310" s="2">
        <v>2019</v>
      </c>
      <c r="F1310" s="3" t="s">
        <v>3665</v>
      </c>
      <c r="G1310" s="2" t="s">
        <v>12</v>
      </c>
      <c r="H1310" s="3" t="s">
        <v>3666</v>
      </c>
      <c r="I1310" s="12" t="s">
        <v>3204</v>
      </c>
    </row>
    <row r="1311" spans="1:9" ht="30" x14ac:dyDescent="0.25">
      <c r="A1311" s="2">
        <v>1308</v>
      </c>
      <c r="B1311" s="3" t="s">
        <v>3599</v>
      </c>
      <c r="C1311" s="3" t="s">
        <v>3667</v>
      </c>
      <c r="D1311" s="3" t="s">
        <v>3667</v>
      </c>
      <c r="E1311" s="2">
        <v>2020</v>
      </c>
      <c r="F1311" s="3" t="s">
        <v>3668</v>
      </c>
      <c r="G1311" s="2" t="s">
        <v>12</v>
      </c>
      <c r="H1311" s="3" t="s">
        <v>3598</v>
      </c>
      <c r="I1311" s="15" t="s">
        <v>3204</v>
      </c>
    </row>
    <row r="1312" spans="1:9" ht="30" x14ac:dyDescent="0.25">
      <c r="A1312" s="2">
        <v>1309</v>
      </c>
      <c r="B1312" s="3" t="s">
        <v>3606</v>
      </c>
      <c r="C1312" s="3" t="s">
        <v>3645</v>
      </c>
      <c r="D1312" s="3" t="s">
        <v>3645</v>
      </c>
      <c r="E1312" s="2">
        <v>2020</v>
      </c>
      <c r="F1312" s="3" t="s">
        <v>3646</v>
      </c>
      <c r="G1312" s="2" t="s">
        <v>12</v>
      </c>
      <c r="H1312" s="3" t="s">
        <v>3647</v>
      </c>
      <c r="I1312" s="12" t="s">
        <v>3204</v>
      </c>
    </row>
    <row r="1313" spans="1:9" ht="30" x14ac:dyDescent="0.25">
      <c r="A1313" s="2">
        <v>1310</v>
      </c>
      <c r="B1313" s="3" t="s">
        <v>3606</v>
      </c>
      <c r="C1313" s="3" t="s">
        <v>3669</v>
      </c>
      <c r="D1313" s="3" t="s">
        <v>3669</v>
      </c>
      <c r="E1313" s="2">
        <v>2020</v>
      </c>
      <c r="F1313" s="3" t="s">
        <v>3649</v>
      </c>
      <c r="G1313" s="2" t="s">
        <v>12</v>
      </c>
      <c r="H1313" s="3" t="s">
        <v>3616</v>
      </c>
      <c r="I1313" s="12" t="s">
        <v>3204</v>
      </c>
    </row>
    <row r="1314" spans="1:9" ht="30" x14ac:dyDescent="0.25">
      <c r="A1314" s="2">
        <v>1311</v>
      </c>
      <c r="B1314" s="3" t="s">
        <v>3606</v>
      </c>
      <c r="C1314" s="3" t="s">
        <v>3670</v>
      </c>
      <c r="D1314" s="3" t="s">
        <v>3670</v>
      </c>
      <c r="E1314" s="2">
        <v>2020</v>
      </c>
      <c r="F1314" s="3" t="s">
        <v>3671</v>
      </c>
      <c r="G1314" s="2" t="s">
        <v>12</v>
      </c>
      <c r="H1314" s="3" t="s">
        <v>3616</v>
      </c>
      <c r="I1314" s="12" t="s">
        <v>3204</v>
      </c>
    </row>
    <row r="1315" spans="1:9" ht="30" x14ac:dyDescent="0.25">
      <c r="A1315" s="2">
        <v>1312</v>
      </c>
      <c r="B1315" s="3" t="s">
        <v>3610</v>
      </c>
      <c r="C1315" s="3" t="s">
        <v>3650</v>
      </c>
      <c r="D1315" s="3" t="s">
        <v>3650</v>
      </c>
      <c r="E1315" s="2">
        <v>2020</v>
      </c>
      <c r="F1315" s="3" t="s">
        <v>3651</v>
      </c>
      <c r="G1315" s="2" t="s">
        <v>12</v>
      </c>
      <c r="H1315" s="3" t="s">
        <v>3672</v>
      </c>
      <c r="I1315" s="12" t="s">
        <v>3204</v>
      </c>
    </row>
    <row r="1316" spans="1:9" ht="30" x14ac:dyDescent="0.25">
      <c r="A1316" s="2">
        <v>1313</v>
      </c>
      <c r="B1316" s="3" t="s">
        <v>3610</v>
      </c>
      <c r="C1316" s="3" t="s">
        <v>3653</v>
      </c>
      <c r="D1316" s="3" t="s">
        <v>3653</v>
      </c>
      <c r="E1316" s="2">
        <v>2021</v>
      </c>
      <c r="F1316" s="3" t="s">
        <v>3673</v>
      </c>
      <c r="G1316" s="2" t="s">
        <v>12</v>
      </c>
      <c r="H1316" s="3" t="s">
        <v>3655</v>
      </c>
      <c r="I1316" s="12" t="s">
        <v>3204</v>
      </c>
    </row>
    <row r="1317" spans="1:9" ht="30" x14ac:dyDescent="0.25">
      <c r="A1317" s="2">
        <v>1314</v>
      </c>
      <c r="B1317" s="3" t="s">
        <v>3610</v>
      </c>
      <c r="C1317" s="3" t="s">
        <v>3653</v>
      </c>
      <c r="D1317" s="3" t="s">
        <v>3653</v>
      </c>
      <c r="E1317" s="2">
        <v>2021</v>
      </c>
      <c r="F1317" s="3" t="s">
        <v>3654</v>
      </c>
      <c r="G1317" s="2" t="s">
        <v>12</v>
      </c>
      <c r="H1317" s="3" t="s">
        <v>3655</v>
      </c>
      <c r="I1317" s="12" t="s">
        <v>3204</v>
      </c>
    </row>
    <row r="1318" spans="1:9" ht="30" x14ac:dyDescent="0.25">
      <c r="A1318" s="2">
        <v>1315</v>
      </c>
      <c r="B1318" s="3" t="s">
        <v>3606</v>
      </c>
      <c r="C1318" s="3" t="s">
        <v>3674</v>
      </c>
      <c r="D1318" s="3" t="s">
        <v>3674</v>
      </c>
      <c r="E1318" s="2">
        <v>2021</v>
      </c>
      <c r="F1318" s="3" t="s">
        <v>3675</v>
      </c>
      <c r="G1318" s="2" t="s">
        <v>12</v>
      </c>
      <c r="H1318" s="3" t="s">
        <v>3676</v>
      </c>
      <c r="I1318" s="12" t="s">
        <v>3204</v>
      </c>
    </row>
    <row r="1319" spans="1:9" ht="30" x14ac:dyDescent="0.25">
      <c r="A1319" s="2">
        <v>1316</v>
      </c>
      <c r="B1319" s="3" t="s">
        <v>3599</v>
      </c>
      <c r="C1319" s="3" t="s">
        <v>3677</v>
      </c>
      <c r="D1319" s="3" t="s">
        <v>3677</v>
      </c>
      <c r="E1319" s="2">
        <v>2021</v>
      </c>
      <c r="F1319" s="3" t="s">
        <v>3678</v>
      </c>
      <c r="G1319" s="2" t="s">
        <v>12</v>
      </c>
      <c r="H1319" s="3" t="s">
        <v>3629</v>
      </c>
      <c r="I1319" s="12" t="s">
        <v>3204</v>
      </c>
    </row>
    <row r="1320" spans="1:9" ht="30" x14ac:dyDescent="0.25">
      <c r="A1320" s="2">
        <v>1317</v>
      </c>
      <c r="B1320" s="3" t="s">
        <v>3634</v>
      </c>
      <c r="C1320" s="3" t="s">
        <v>3679</v>
      </c>
      <c r="D1320" s="3" t="s">
        <v>3679</v>
      </c>
      <c r="E1320" s="2">
        <v>2021</v>
      </c>
      <c r="F1320" s="3" t="s">
        <v>3680</v>
      </c>
      <c r="G1320" s="2" t="s">
        <v>12</v>
      </c>
      <c r="H1320" s="3" t="s">
        <v>3681</v>
      </c>
      <c r="I1320" s="12" t="s">
        <v>3204</v>
      </c>
    </row>
    <row r="1321" spans="1:9" ht="30" x14ac:dyDescent="0.25">
      <c r="A1321" s="2">
        <v>1318</v>
      </c>
      <c r="B1321" s="3" t="s">
        <v>3634</v>
      </c>
      <c r="C1321" s="3" t="s">
        <v>3657</v>
      </c>
      <c r="D1321" s="3" t="s">
        <v>3657</v>
      </c>
      <c r="E1321" s="2">
        <v>2020</v>
      </c>
      <c r="F1321" s="3" t="s">
        <v>3658</v>
      </c>
      <c r="G1321" s="2" t="s">
        <v>12</v>
      </c>
      <c r="H1321" s="3" t="s">
        <v>3598</v>
      </c>
      <c r="I1321" s="12" t="s">
        <v>3204</v>
      </c>
    </row>
    <row r="1322" spans="1:9" ht="30" x14ac:dyDescent="0.25">
      <c r="A1322" s="2">
        <v>1319</v>
      </c>
      <c r="B1322" s="3" t="s">
        <v>3634</v>
      </c>
      <c r="C1322" s="3" t="s">
        <v>3682</v>
      </c>
      <c r="D1322" s="3" t="s">
        <v>3682</v>
      </c>
      <c r="E1322" s="2">
        <v>2020</v>
      </c>
      <c r="F1322" s="3" t="s">
        <v>3683</v>
      </c>
      <c r="G1322" s="2" t="s">
        <v>12</v>
      </c>
      <c r="H1322" s="3" t="s">
        <v>3684</v>
      </c>
      <c r="I1322" s="12" t="s">
        <v>3204</v>
      </c>
    </row>
    <row r="1323" spans="1:9" ht="30" x14ac:dyDescent="0.25">
      <c r="A1323" s="2">
        <v>1320</v>
      </c>
      <c r="B1323" s="3" t="s">
        <v>3634</v>
      </c>
      <c r="C1323" s="3" t="s">
        <v>3685</v>
      </c>
      <c r="D1323" s="3" t="s">
        <v>3685</v>
      </c>
      <c r="E1323" s="2">
        <v>2020</v>
      </c>
      <c r="F1323" s="3" t="s">
        <v>3686</v>
      </c>
      <c r="G1323" s="2" t="s">
        <v>12</v>
      </c>
      <c r="H1323" s="3" t="s">
        <v>3666</v>
      </c>
      <c r="I1323" s="12" t="s">
        <v>3204</v>
      </c>
    </row>
    <row r="1324" spans="1:9" ht="30" x14ac:dyDescent="0.25">
      <c r="A1324" s="2">
        <v>1321</v>
      </c>
      <c r="B1324" s="3" t="s">
        <v>3599</v>
      </c>
      <c r="C1324" s="3" t="s">
        <v>3687</v>
      </c>
      <c r="D1324" s="3" t="s">
        <v>3687</v>
      </c>
      <c r="E1324" s="2">
        <v>2021</v>
      </c>
      <c r="F1324" s="3" t="s">
        <v>3688</v>
      </c>
      <c r="G1324" s="2" t="s">
        <v>12</v>
      </c>
      <c r="H1324" s="3" t="s">
        <v>3689</v>
      </c>
      <c r="I1324" s="15" t="s">
        <v>3204</v>
      </c>
    </row>
    <row r="1325" spans="1:9" ht="30" x14ac:dyDescent="0.25">
      <c r="A1325" s="2">
        <v>1322</v>
      </c>
      <c r="B1325" s="3" t="s">
        <v>3595</v>
      </c>
      <c r="C1325" s="3" t="s">
        <v>3690</v>
      </c>
      <c r="D1325" s="3" t="s">
        <v>3690</v>
      </c>
      <c r="E1325" s="2">
        <v>2022</v>
      </c>
      <c r="F1325" s="3" t="s">
        <v>3691</v>
      </c>
      <c r="G1325" s="2" t="s">
        <v>12</v>
      </c>
      <c r="H1325" s="3" t="s">
        <v>3692</v>
      </c>
      <c r="I1325" s="12" t="s">
        <v>3204</v>
      </c>
    </row>
    <row r="1326" spans="1:9" ht="30" x14ac:dyDescent="0.25">
      <c r="A1326" s="2">
        <v>1323</v>
      </c>
      <c r="B1326" s="3" t="s">
        <v>3599</v>
      </c>
      <c r="C1326" s="3" t="s">
        <v>3693</v>
      </c>
      <c r="D1326" s="3" t="s">
        <v>3693</v>
      </c>
      <c r="E1326" s="2">
        <v>2022</v>
      </c>
      <c r="F1326" s="3" t="s">
        <v>3688</v>
      </c>
      <c r="G1326" s="2" t="s">
        <v>12</v>
      </c>
      <c r="H1326" s="3" t="s">
        <v>3689</v>
      </c>
      <c r="I1326" s="15" t="s">
        <v>3204</v>
      </c>
    </row>
    <row r="1327" spans="1:9" ht="30" x14ac:dyDescent="0.25">
      <c r="A1327" s="2">
        <v>1324</v>
      </c>
      <c r="B1327" s="3" t="s">
        <v>3634</v>
      </c>
      <c r="C1327" s="3" t="s">
        <v>3677</v>
      </c>
      <c r="D1327" s="3" t="s">
        <v>3677</v>
      </c>
      <c r="E1327" s="2">
        <v>2022</v>
      </c>
      <c r="F1327" s="3" t="s">
        <v>3678</v>
      </c>
      <c r="G1327" s="2" t="s">
        <v>12</v>
      </c>
      <c r="H1327" s="3" t="s">
        <v>3694</v>
      </c>
      <c r="I1327" s="15" t="s">
        <v>3204</v>
      </c>
    </row>
    <row r="1328" spans="1:9" ht="30" x14ac:dyDescent="0.25">
      <c r="A1328" s="2">
        <v>1325</v>
      </c>
      <c r="B1328" s="3" t="s">
        <v>3634</v>
      </c>
      <c r="C1328" s="3" t="s">
        <v>3695</v>
      </c>
      <c r="D1328" s="3" t="s">
        <v>3695</v>
      </c>
      <c r="E1328" s="2">
        <v>2022</v>
      </c>
      <c r="F1328" s="3" t="s">
        <v>3678</v>
      </c>
      <c r="G1328" s="2" t="s">
        <v>12</v>
      </c>
      <c r="H1328" s="3" t="s">
        <v>3694</v>
      </c>
      <c r="I1328" s="15" t="s">
        <v>3204</v>
      </c>
    </row>
    <row r="1329" spans="1:9" ht="30" x14ac:dyDescent="0.25">
      <c r="A1329" s="2">
        <v>1326</v>
      </c>
      <c r="B1329" s="3" t="s">
        <v>3634</v>
      </c>
      <c r="C1329" s="3" t="s">
        <v>3696</v>
      </c>
      <c r="D1329" s="3" t="s">
        <v>3696</v>
      </c>
      <c r="E1329" s="2">
        <v>2022</v>
      </c>
      <c r="F1329" s="3" t="s">
        <v>3697</v>
      </c>
      <c r="G1329" s="2" t="s">
        <v>12</v>
      </c>
      <c r="H1329" s="3" t="s">
        <v>3698</v>
      </c>
      <c r="I1329" s="15" t="s">
        <v>3204</v>
      </c>
    </row>
    <row r="1330" spans="1:9" ht="30" x14ac:dyDescent="0.25">
      <c r="A1330" s="2">
        <v>1327</v>
      </c>
      <c r="B1330" s="3" t="s">
        <v>3610</v>
      </c>
      <c r="C1330" s="3" t="s">
        <v>3699</v>
      </c>
      <c r="D1330" s="3" t="s">
        <v>3699</v>
      </c>
      <c r="E1330" s="2">
        <v>2022</v>
      </c>
      <c r="F1330" s="3" t="s">
        <v>3700</v>
      </c>
      <c r="G1330" s="2" t="s">
        <v>12</v>
      </c>
      <c r="H1330" s="3" t="s">
        <v>3701</v>
      </c>
      <c r="I1330" s="12" t="s">
        <v>3204</v>
      </c>
    </row>
    <row r="1331" spans="1:9" ht="30" x14ac:dyDescent="0.25">
      <c r="A1331" s="2">
        <v>1328</v>
      </c>
      <c r="B1331" s="3" t="s">
        <v>3606</v>
      </c>
      <c r="C1331" s="3" t="s">
        <v>3702</v>
      </c>
      <c r="D1331" s="3" t="s">
        <v>3702</v>
      </c>
      <c r="E1331" s="2">
        <v>2023</v>
      </c>
      <c r="F1331" s="3" t="s">
        <v>3703</v>
      </c>
      <c r="G1331" s="2" t="s">
        <v>12</v>
      </c>
      <c r="H1331" s="3" t="s">
        <v>3704</v>
      </c>
      <c r="I1331" s="12" t="s">
        <v>3204</v>
      </c>
    </row>
    <row r="1332" spans="1:9" ht="30" x14ac:dyDescent="0.25">
      <c r="A1332" s="2">
        <v>1329</v>
      </c>
      <c r="B1332" s="3" t="s">
        <v>3606</v>
      </c>
      <c r="C1332" s="3" t="s">
        <v>3705</v>
      </c>
      <c r="D1332" s="3" t="s">
        <v>3705</v>
      </c>
      <c r="E1332" s="2">
        <v>2023</v>
      </c>
      <c r="F1332" s="3" t="s">
        <v>3706</v>
      </c>
      <c r="G1332" s="2" t="s">
        <v>12</v>
      </c>
      <c r="H1332" s="3" t="s">
        <v>3704</v>
      </c>
      <c r="I1332" s="12" t="s">
        <v>3204</v>
      </c>
    </row>
    <row r="1333" spans="1:9" ht="30" x14ac:dyDescent="0.25">
      <c r="A1333" s="2">
        <v>1330</v>
      </c>
      <c r="B1333" s="3" t="s">
        <v>3610</v>
      </c>
      <c r="C1333" s="3" t="s">
        <v>3707</v>
      </c>
      <c r="D1333" s="3" t="s">
        <v>3707</v>
      </c>
      <c r="E1333" s="2">
        <v>2023</v>
      </c>
      <c r="F1333" s="3" t="s">
        <v>3708</v>
      </c>
      <c r="G1333" s="2" t="s">
        <v>12</v>
      </c>
      <c r="H1333" s="3" t="s">
        <v>3704</v>
      </c>
      <c r="I1333" s="12" t="s">
        <v>3204</v>
      </c>
    </row>
    <row r="1334" spans="1:9" ht="30" x14ac:dyDescent="0.25">
      <c r="A1334" s="2">
        <v>1331</v>
      </c>
      <c r="B1334" s="3" t="s">
        <v>3599</v>
      </c>
      <c r="C1334" s="3" t="s">
        <v>3709</v>
      </c>
      <c r="D1334" s="3" t="s">
        <v>3709</v>
      </c>
      <c r="E1334" s="2">
        <v>2023</v>
      </c>
      <c r="F1334" s="3">
        <v>0</v>
      </c>
      <c r="G1334" s="2" t="s">
        <v>12</v>
      </c>
      <c r="H1334" s="3" t="s">
        <v>3616</v>
      </c>
      <c r="I1334" s="12" t="s">
        <v>3204</v>
      </c>
    </row>
    <row r="1335" spans="1:9" ht="30" x14ac:dyDescent="0.25">
      <c r="A1335" s="2">
        <v>1332</v>
      </c>
      <c r="B1335" s="3" t="s">
        <v>3599</v>
      </c>
      <c r="C1335" s="3" t="s">
        <v>3710</v>
      </c>
      <c r="D1335" s="3" t="s">
        <v>3710</v>
      </c>
      <c r="E1335" s="2">
        <v>2022</v>
      </c>
      <c r="F1335" s="3" t="s">
        <v>3711</v>
      </c>
      <c r="G1335" s="2" t="s">
        <v>12</v>
      </c>
      <c r="H1335" s="3" t="s">
        <v>3689</v>
      </c>
      <c r="I1335" s="15" t="s">
        <v>3204</v>
      </c>
    </row>
    <row r="1336" spans="1:9" ht="30" x14ac:dyDescent="0.25">
      <c r="A1336" s="2">
        <v>1333</v>
      </c>
      <c r="B1336" s="3" t="s">
        <v>3599</v>
      </c>
      <c r="C1336" s="3" t="s">
        <v>3712</v>
      </c>
      <c r="D1336" s="3" t="s">
        <v>3712</v>
      </c>
      <c r="E1336" s="2">
        <v>2023</v>
      </c>
      <c r="F1336" s="3" t="s">
        <v>3713</v>
      </c>
      <c r="G1336" s="2" t="s">
        <v>12</v>
      </c>
      <c r="H1336" s="3" t="s">
        <v>3714</v>
      </c>
      <c r="I1336" s="15" t="s">
        <v>3204</v>
      </c>
    </row>
    <row r="1337" spans="1:9" ht="30" x14ac:dyDescent="0.25">
      <c r="A1337" s="2">
        <v>1334</v>
      </c>
      <c r="B1337" s="3" t="s">
        <v>3634</v>
      </c>
      <c r="C1337" s="3" t="s">
        <v>3715</v>
      </c>
      <c r="D1337" s="3" t="s">
        <v>3715</v>
      </c>
      <c r="E1337" s="2">
        <v>2022</v>
      </c>
      <c r="F1337" s="3" t="s">
        <v>3716</v>
      </c>
      <c r="G1337" s="2" t="s">
        <v>12</v>
      </c>
      <c r="H1337" s="3" t="s">
        <v>3717</v>
      </c>
      <c r="I1337" s="15" t="s">
        <v>3204</v>
      </c>
    </row>
    <row r="1338" spans="1:9" ht="45" x14ac:dyDescent="0.25">
      <c r="A1338" s="2">
        <v>1335</v>
      </c>
      <c r="B1338" s="3" t="s">
        <v>3718</v>
      </c>
      <c r="C1338" s="3" t="s">
        <v>3719</v>
      </c>
      <c r="D1338" s="3" t="s">
        <v>3719</v>
      </c>
      <c r="E1338" s="2">
        <v>2019</v>
      </c>
      <c r="F1338" s="3" t="s">
        <v>3720</v>
      </c>
      <c r="G1338" s="2" t="s">
        <v>12</v>
      </c>
      <c r="H1338" s="3" t="s">
        <v>3721</v>
      </c>
      <c r="I1338" s="15" t="s">
        <v>3204</v>
      </c>
    </row>
    <row r="1339" spans="1:9" ht="30" x14ac:dyDescent="0.25">
      <c r="A1339" s="2">
        <v>1336</v>
      </c>
      <c r="B1339" s="3" t="s">
        <v>3722</v>
      </c>
      <c r="C1339" s="3" t="s">
        <v>3723</v>
      </c>
      <c r="D1339" s="3" t="s">
        <v>3723</v>
      </c>
      <c r="E1339" s="2">
        <v>2019</v>
      </c>
      <c r="F1339" s="3" t="s">
        <v>3724</v>
      </c>
      <c r="G1339" s="2" t="s">
        <v>12</v>
      </c>
      <c r="H1339" s="3" t="s">
        <v>3725</v>
      </c>
      <c r="I1339" s="15" t="s">
        <v>3204</v>
      </c>
    </row>
    <row r="1340" spans="1:9" ht="60" x14ac:dyDescent="0.25">
      <c r="A1340" s="2">
        <v>1337</v>
      </c>
      <c r="B1340" s="3" t="s">
        <v>3722</v>
      </c>
      <c r="C1340" s="3" t="s">
        <v>3726</v>
      </c>
      <c r="D1340" s="3" t="s">
        <v>3726</v>
      </c>
      <c r="E1340" s="2">
        <v>2021</v>
      </c>
      <c r="F1340" s="3" t="s">
        <v>3727</v>
      </c>
      <c r="G1340" s="2" t="s">
        <v>12</v>
      </c>
      <c r="H1340" s="3" t="s">
        <v>260</v>
      </c>
      <c r="I1340" s="15" t="s">
        <v>3204</v>
      </c>
    </row>
    <row r="1341" spans="1:9" ht="30" x14ac:dyDescent="0.25">
      <c r="A1341" s="2">
        <v>1338</v>
      </c>
      <c r="B1341" s="3" t="s">
        <v>3722</v>
      </c>
      <c r="C1341" s="3" t="s">
        <v>3728</v>
      </c>
      <c r="D1341" s="3" t="s">
        <v>3728</v>
      </c>
      <c r="E1341" s="2">
        <v>2021</v>
      </c>
      <c r="F1341" s="3" t="s">
        <v>3729</v>
      </c>
      <c r="G1341" s="2" t="s">
        <v>12</v>
      </c>
      <c r="H1341" s="3" t="s">
        <v>3730</v>
      </c>
      <c r="I1341" s="15" t="s">
        <v>3204</v>
      </c>
    </row>
    <row r="1342" spans="1:9" ht="30" x14ac:dyDescent="0.25">
      <c r="A1342" s="2">
        <v>1339</v>
      </c>
      <c r="B1342" s="3" t="s">
        <v>3731</v>
      </c>
      <c r="C1342" s="3" t="s">
        <v>3732</v>
      </c>
      <c r="D1342" s="3" t="s">
        <v>3732</v>
      </c>
      <c r="E1342" s="2">
        <v>2023</v>
      </c>
      <c r="F1342" s="3" t="s">
        <v>3733</v>
      </c>
      <c r="G1342" s="2" t="s">
        <v>12</v>
      </c>
      <c r="H1342" s="3" t="s">
        <v>3734</v>
      </c>
      <c r="I1342" s="12" t="s">
        <v>3204</v>
      </c>
    </row>
    <row r="1343" spans="1:9" ht="30" x14ac:dyDescent="0.25">
      <c r="A1343" s="2">
        <v>1340</v>
      </c>
      <c r="B1343" s="3" t="s">
        <v>3722</v>
      </c>
      <c r="C1343" s="3" t="s">
        <v>3735</v>
      </c>
      <c r="D1343" s="3" t="s">
        <v>3735</v>
      </c>
      <c r="E1343" s="2">
        <v>2023</v>
      </c>
      <c r="F1343" s="3">
        <v>0</v>
      </c>
      <c r="G1343" s="2" t="s">
        <v>12</v>
      </c>
      <c r="H1343" s="3" t="s">
        <v>3736</v>
      </c>
      <c r="I1343" s="15" t="s">
        <v>3204</v>
      </c>
    </row>
    <row r="1344" spans="1:9" ht="30" x14ac:dyDescent="0.25">
      <c r="A1344" s="2">
        <v>1341</v>
      </c>
      <c r="B1344" s="3" t="s">
        <v>3737</v>
      </c>
      <c r="C1344" s="3" t="s">
        <v>3738</v>
      </c>
      <c r="D1344" s="3" t="s">
        <v>3738</v>
      </c>
      <c r="E1344" s="2">
        <v>2019</v>
      </c>
      <c r="F1344" s="3" t="s">
        <v>3739</v>
      </c>
      <c r="G1344" s="2" t="s">
        <v>12</v>
      </c>
      <c r="H1344" s="3" t="s">
        <v>3740</v>
      </c>
      <c r="I1344" s="12" t="s">
        <v>3204</v>
      </c>
    </row>
    <row r="1345" spans="1:9" ht="60" x14ac:dyDescent="0.25">
      <c r="A1345" s="2">
        <v>1342</v>
      </c>
      <c r="B1345" s="3" t="s">
        <v>3741</v>
      </c>
      <c r="C1345" s="3" t="s">
        <v>3742</v>
      </c>
      <c r="D1345" s="3" t="s">
        <v>3742</v>
      </c>
      <c r="E1345" s="2">
        <v>2019</v>
      </c>
      <c r="F1345" s="3" t="s">
        <v>3743</v>
      </c>
      <c r="G1345" s="2" t="s">
        <v>12</v>
      </c>
      <c r="H1345" s="3" t="s">
        <v>3744</v>
      </c>
      <c r="I1345" s="15" t="s">
        <v>3204</v>
      </c>
    </row>
    <row r="1346" spans="1:9" ht="45" x14ac:dyDescent="0.25">
      <c r="A1346" s="2">
        <v>1343</v>
      </c>
      <c r="B1346" s="3" t="s">
        <v>3741</v>
      </c>
      <c r="C1346" s="3" t="s">
        <v>3745</v>
      </c>
      <c r="D1346" s="3" t="s">
        <v>3745</v>
      </c>
      <c r="E1346" s="2">
        <v>2019</v>
      </c>
      <c r="F1346" s="3" t="s">
        <v>3743</v>
      </c>
      <c r="G1346" s="2" t="s">
        <v>12</v>
      </c>
      <c r="H1346" s="3" t="s">
        <v>3744</v>
      </c>
      <c r="I1346" s="15" t="s">
        <v>3204</v>
      </c>
    </row>
    <row r="1347" spans="1:9" ht="45" x14ac:dyDescent="0.25">
      <c r="A1347" s="2">
        <v>1344</v>
      </c>
      <c r="B1347" s="3" t="s">
        <v>3741</v>
      </c>
      <c r="C1347" s="3" t="s">
        <v>3745</v>
      </c>
      <c r="D1347" s="3" t="s">
        <v>3745</v>
      </c>
      <c r="E1347" s="2">
        <v>2019</v>
      </c>
      <c r="F1347" s="3" t="s">
        <v>3743</v>
      </c>
      <c r="G1347" s="2" t="s">
        <v>12</v>
      </c>
      <c r="H1347" s="3" t="s">
        <v>3744</v>
      </c>
      <c r="I1347" s="15" t="s">
        <v>3204</v>
      </c>
    </row>
    <row r="1348" spans="1:9" ht="45" x14ac:dyDescent="0.25">
      <c r="A1348" s="2">
        <v>1345</v>
      </c>
      <c r="B1348" s="3" t="s">
        <v>3741</v>
      </c>
      <c r="C1348" s="3" t="s">
        <v>3745</v>
      </c>
      <c r="D1348" s="3" t="s">
        <v>3745</v>
      </c>
      <c r="E1348" s="2">
        <v>2019</v>
      </c>
      <c r="F1348" s="3" t="s">
        <v>3743</v>
      </c>
      <c r="G1348" s="2" t="s">
        <v>12</v>
      </c>
      <c r="H1348" s="3" t="s">
        <v>3744</v>
      </c>
      <c r="I1348" s="15" t="s">
        <v>3204</v>
      </c>
    </row>
    <row r="1349" spans="1:9" ht="45" x14ac:dyDescent="0.25">
      <c r="A1349" s="2">
        <v>1346</v>
      </c>
      <c r="B1349" s="3" t="s">
        <v>3741</v>
      </c>
      <c r="C1349" s="3" t="s">
        <v>3745</v>
      </c>
      <c r="D1349" s="3" t="s">
        <v>3745</v>
      </c>
      <c r="E1349" s="2">
        <v>2019</v>
      </c>
      <c r="F1349" s="3" t="s">
        <v>3743</v>
      </c>
      <c r="G1349" s="2" t="s">
        <v>12</v>
      </c>
      <c r="H1349" s="3" t="s">
        <v>3744</v>
      </c>
      <c r="I1349" s="15" t="s">
        <v>3204</v>
      </c>
    </row>
    <row r="1350" spans="1:9" ht="45" x14ac:dyDescent="0.25">
      <c r="A1350" s="2">
        <v>1347</v>
      </c>
      <c r="B1350" s="3" t="s">
        <v>3741</v>
      </c>
      <c r="C1350" s="3" t="s">
        <v>3745</v>
      </c>
      <c r="D1350" s="3" t="s">
        <v>3745</v>
      </c>
      <c r="E1350" s="2">
        <v>2019</v>
      </c>
      <c r="F1350" s="3" t="s">
        <v>3743</v>
      </c>
      <c r="G1350" s="2" t="s">
        <v>12</v>
      </c>
      <c r="H1350" s="3" t="s">
        <v>3744</v>
      </c>
      <c r="I1350" s="15" t="s">
        <v>3204</v>
      </c>
    </row>
    <row r="1351" spans="1:9" ht="30" x14ac:dyDescent="0.25">
      <c r="A1351" s="2">
        <v>1348</v>
      </c>
      <c r="B1351" s="3" t="s">
        <v>3737</v>
      </c>
      <c r="C1351" s="3" t="s">
        <v>3746</v>
      </c>
      <c r="D1351" s="3" t="s">
        <v>3746</v>
      </c>
      <c r="E1351" s="2">
        <v>2020</v>
      </c>
      <c r="F1351" s="3" t="s">
        <v>3747</v>
      </c>
      <c r="G1351" s="2" t="s">
        <v>12</v>
      </c>
      <c r="H1351" s="3" t="s">
        <v>3748</v>
      </c>
      <c r="I1351" s="15" t="s">
        <v>3204</v>
      </c>
    </row>
    <row r="1352" spans="1:9" ht="30" x14ac:dyDescent="0.25">
      <c r="A1352" s="2">
        <v>1349</v>
      </c>
      <c r="B1352" s="3" t="s">
        <v>3737</v>
      </c>
      <c r="C1352" s="3" t="s">
        <v>3749</v>
      </c>
      <c r="D1352" s="3" t="s">
        <v>3749</v>
      </c>
      <c r="E1352" s="2">
        <v>2020</v>
      </c>
      <c r="F1352" s="3" t="s">
        <v>3747</v>
      </c>
      <c r="G1352" s="2" t="s">
        <v>12</v>
      </c>
      <c r="H1352" s="3" t="s">
        <v>3748</v>
      </c>
      <c r="I1352" s="15" t="s">
        <v>3204</v>
      </c>
    </row>
    <row r="1353" spans="1:9" ht="30" x14ac:dyDescent="0.25">
      <c r="A1353" s="2">
        <v>1350</v>
      </c>
      <c r="B1353" s="3" t="s">
        <v>3737</v>
      </c>
      <c r="C1353" s="3" t="s">
        <v>3749</v>
      </c>
      <c r="D1353" s="3" t="s">
        <v>3749</v>
      </c>
      <c r="E1353" s="2">
        <v>2020</v>
      </c>
      <c r="F1353" s="3" t="s">
        <v>3747</v>
      </c>
      <c r="G1353" s="2" t="s">
        <v>12</v>
      </c>
      <c r="H1353" s="3" t="s">
        <v>3748</v>
      </c>
      <c r="I1353" s="15" t="s">
        <v>3204</v>
      </c>
    </row>
    <row r="1354" spans="1:9" ht="30" x14ac:dyDescent="0.25">
      <c r="A1354" s="2">
        <v>1351</v>
      </c>
      <c r="B1354" s="3" t="s">
        <v>3737</v>
      </c>
      <c r="C1354" s="3" t="s">
        <v>3750</v>
      </c>
      <c r="D1354" s="3" t="s">
        <v>3750</v>
      </c>
      <c r="E1354" s="2">
        <v>2020</v>
      </c>
      <c r="F1354" s="3" t="s">
        <v>3751</v>
      </c>
      <c r="G1354" s="2" t="s">
        <v>12</v>
      </c>
      <c r="H1354" s="3" t="s">
        <v>3748</v>
      </c>
      <c r="I1354" s="15" t="s">
        <v>3204</v>
      </c>
    </row>
    <row r="1355" spans="1:9" ht="30" x14ac:dyDescent="0.25">
      <c r="A1355" s="2">
        <v>1352</v>
      </c>
      <c r="B1355" s="3" t="s">
        <v>3737</v>
      </c>
      <c r="C1355" s="3" t="s">
        <v>3749</v>
      </c>
      <c r="D1355" s="3" t="s">
        <v>3749</v>
      </c>
      <c r="E1355" s="2">
        <v>2020</v>
      </c>
      <c r="F1355" s="3" t="s">
        <v>3747</v>
      </c>
      <c r="G1355" s="2" t="s">
        <v>12</v>
      </c>
      <c r="H1355" s="3" t="s">
        <v>3748</v>
      </c>
      <c r="I1355" s="15" t="s">
        <v>3204</v>
      </c>
    </row>
    <row r="1356" spans="1:9" ht="30" x14ac:dyDescent="0.25">
      <c r="A1356" s="2">
        <v>1353</v>
      </c>
      <c r="B1356" s="3" t="s">
        <v>3737</v>
      </c>
      <c r="C1356" s="3" t="s">
        <v>3752</v>
      </c>
      <c r="D1356" s="3" t="s">
        <v>3752</v>
      </c>
      <c r="E1356" s="2">
        <v>2020</v>
      </c>
      <c r="F1356" s="3" t="s">
        <v>3747</v>
      </c>
      <c r="G1356" s="2" t="s">
        <v>12</v>
      </c>
      <c r="H1356" s="3" t="s">
        <v>3753</v>
      </c>
      <c r="I1356" s="15" t="s">
        <v>3204</v>
      </c>
    </row>
    <row r="1357" spans="1:9" ht="30" x14ac:dyDescent="0.25">
      <c r="A1357" s="2">
        <v>1354</v>
      </c>
      <c r="B1357" s="3" t="s">
        <v>3737</v>
      </c>
      <c r="C1357" s="3" t="s">
        <v>3752</v>
      </c>
      <c r="D1357" s="3" t="s">
        <v>3752</v>
      </c>
      <c r="E1357" s="2">
        <v>2020</v>
      </c>
      <c r="F1357" s="3" t="s">
        <v>3747</v>
      </c>
      <c r="G1357" s="2" t="s">
        <v>12</v>
      </c>
      <c r="H1357" s="3" t="s">
        <v>3753</v>
      </c>
      <c r="I1357" s="15" t="s">
        <v>3204</v>
      </c>
    </row>
    <row r="1358" spans="1:9" ht="30" x14ac:dyDescent="0.25">
      <c r="A1358" s="2">
        <v>1355</v>
      </c>
      <c r="B1358" s="3" t="s">
        <v>3737</v>
      </c>
      <c r="C1358" s="3" t="s">
        <v>3754</v>
      </c>
      <c r="D1358" s="3" t="s">
        <v>3754</v>
      </c>
      <c r="E1358" s="2">
        <v>2020</v>
      </c>
      <c r="F1358" s="3" t="s">
        <v>3747</v>
      </c>
      <c r="G1358" s="2" t="s">
        <v>12</v>
      </c>
      <c r="H1358" s="3" t="s">
        <v>3748</v>
      </c>
      <c r="I1358" s="15" t="s">
        <v>3204</v>
      </c>
    </row>
    <row r="1359" spans="1:9" ht="30" x14ac:dyDescent="0.25">
      <c r="A1359" s="2">
        <v>1356</v>
      </c>
      <c r="B1359" s="3" t="s">
        <v>3737</v>
      </c>
      <c r="C1359" s="3" t="s">
        <v>3749</v>
      </c>
      <c r="D1359" s="3" t="s">
        <v>3749</v>
      </c>
      <c r="E1359" s="2">
        <v>2020</v>
      </c>
      <c r="F1359" s="3" t="s">
        <v>3747</v>
      </c>
      <c r="G1359" s="2" t="s">
        <v>12</v>
      </c>
      <c r="H1359" s="3" t="s">
        <v>3748</v>
      </c>
      <c r="I1359" s="15" t="s">
        <v>3204</v>
      </c>
    </row>
    <row r="1360" spans="1:9" ht="30" x14ac:dyDescent="0.25">
      <c r="A1360" s="2">
        <v>1357</v>
      </c>
      <c r="B1360" s="3" t="s">
        <v>3737</v>
      </c>
      <c r="C1360" s="3" t="s">
        <v>3752</v>
      </c>
      <c r="D1360" s="3" t="s">
        <v>3752</v>
      </c>
      <c r="E1360" s="2">
        <v>2020</v>
      </c>
      <c r="F1360" s="3" t="s">
        <v>3747</v>
      </c>
      <c r="G1360" s="2" t="s">
        <v>12</v>
      </c>
      <c r="H1360" s="3" t="s">
        <v>3753</v>
      </c>
      <c r="I1360" s="15" t="s">
        <v>3204</v>
      </c>
    </row>
    <row r="1361" spans="1:9" ht="30" x14ac:dyDescent="0.25">
      <c r="A1361" s="2">
        <v>1358</v>
      </c>
      <c r="B1361" s="3" t="s">
        <v>3737</v>
      </c>
      <c r="C1361" s="3" t="s">
        <v>3752</v>
      </c>
      <c r="D1361" s="3" t="s">
        <v>3752</v>
      </c>
      <c r="E1361" s="2">
        <v>2020</v>
      </c>
      <c r="F1361" s="3" t="s">
        <v>3747</v>
      </c>
      <c r="G1361" s="2" t="s">
        <v>12</v>
      </c>
      <c r="H1361" s="3" t="s">
        <v>3753</v>
      </c>
      <c r="I1361" s="15" t="s">
        <v>3204</v>
      </c>
    </row>
    <row r="1362" spans="1:9" ht="30" x14ac:dyDescent="0.25">
      <c r="A1362" s="2">
        <v>1359</v>
      </c>
      <c r="B1362" s="3" t="s">
        <v>3737</v>
      </c>
      <c r="C1362" s="3" t="s">
        <v>3752</v>
      </c>
      <c r="D1362" s="3" t="s">
        <v>3752</v>
      </c>
      <c r="E1362" s="2">
        <v>2020</v>
      </c>
      <c r="F1362" s="3" t="s">
        <v>3747</v>
      </c>
      <c r="G1362" s="2" t="s">
        <v>12</v>
      </c>
      <c r="H1362" s="3" t="s">
        <v>3753</v>
      </c>
      <c r="I1362" s="15" t="s">
        <v>3204</v>
      </c>
    </row>
    <row r="1363" spans="1:9" ht="30" x14ac:dyDescent="0.25">
      <c r="A1363" s="2">
        <v>1360</v>
      </c>
      <c r="B1363" s="3" t="s">
        <v>3737</v>
      </c>
      <c r="C1363" s="3" t="s">
        <v>3752</v>
      </c>
      <c r="D1363" s="3" t="s">
        <v>3752</v>
      </c>
      <c r="E1363" s="2">
        <v>2020</v>
      </c>
      <c r="F1363" s="3" t="s">
        <v>3747</v>
      </c>
      <c r="G1363" s="2" t="s">
        <v>12</v>
      </c>
      <c r="H1363" s="3" t="s">
        <v>3753</v>
      </c>
      <c r="I1363" s="15" t="s">
        <v>3204</v>
      </c>
    </row>
    <row r="1364" spans="1:9" ht="30" x14ac:dyDescent="0.25">
      <c r="A1364" s="2">
        <v>1361</v>
      </c>
      <c r="B1364" s="3" t="s">
        <v>3737</v>
      </c>
      <c r="C1364" s="3" t="s">
        <v>3749</v>
      </c>
      <c r="D1364" s="3" t="s">
        <v>3749</v>
      </c>
      <c r="E1364" s="2">
        <v>2020</v>
      </c>
      <c r="F1364" s="3" t="s">
        <v>3747</v>
      </c>
      <c r="G1364" s="2" t="s">
        <v>12</v>
      </c>
      <c r="H1364" s="3" t="s">
        <v>3748</v>
      </c>
      <c r="I1364" s="15" t="s">
        <v>3204</v>
      </c>
    </row>
    <row r="1365" spans="1:9" ht="30" x14ac:dyDescent="0.25">
      <c r="A1365" s="2">
        <v>1362</v>
      </c>
      <c r="B1365" s="3" t="s">
        <v>3737</v>
      </c>
      <c r="C1365" s="3" t="s">
        <v>3752</v>
      </c>
      <c r="D1365" s="3" t="s">
        <v>3752</v>
      </c>
      <c r="E1365" s="2">
        <v>2020</v>
      </c>
      <c r="F1365" s="3" t="s">
        <v>3747</v>
      </c>
      <c r="G1365" s="2" t="s">
        <v>12</v>
      </c>
      <c r="H1365" s="3" t="s">
        <v>3753</v>
      </c>
      <c r="I1365" s="15" t="s">
        <v>3204</v>
      </c>
    </row>
    <row r="1366" spans="1:9" ht="30" x14ac:dyDescent="0.25">
      <c r="A1366" s="2">
        <v>1363</v>
      </c>
      <c r="B1366" s="3" t="s">
        <v>3737</v>
      </c>
      <c r="C1366" s="3" t="s">
        <v>3755</v>
      </c>
      <c r="D1366" s="3" t="s">
        <v>3755</v>
      </c>
      <c r="E1366" s="2">
        <v>2021</v>
      </c>
      <c r="F1366" s="3" t="s">
        <v>3756</v>
      </c>
      <c r="G1366" s="2" t="s">
        <v>12</v>
      </c>
      <c r="H1366" s="3" t="s">
        <v>3748</v>
      </c>
      <c r="I1366" s="15" t="s">
        <v>3204</v>
      </c>
    </row>
    <row r="1367" spans="1:9" ht="30" x14ac:dyDescent="0.25">
      <c r="A1367" s="2">
        <v>1364</v>
      </c>
      <c r="B1367" s="3" t="s">
        <v>3737</v>
      </c>
      <c r="C1367" s="3" t="s">
        <v>3755</v>
      </c>
      <c r="D1367" s="3" t="s">
        <v>3755</v>
      </c>
      <c r="E1367" s="2">
        <v>2021</v>
      </c>
      <c r="F1367" s="3" t="s">
        <v>3756</v>
      </c>
      <c r="G1367" s="2" t="s">
        <v>12</v>
      </c>
      <c r="H1367" s="3" t="s">
        <v>3748</v>
      </c>
      <c r="I1367" s="15" t="s">
        <v>3204</v>
      </c>
    </row>
    <row r="1368" spans="1:9" ht="30" x14ac:dyDescent="0.25">
      <c r="A1368" s="2">
        <v>1365</v>
      </c>
      <c r="B1368" s="3" t="s">
        <v>3737</v>
      </c>
      <c r="C1368" s="3" t="s">
        <v>3755</v>
      </c>
      <c r="D1368" s="3" t="s">
        <v>3755</v>
      </c>
      <c r="E1368" s="2">
        <v>2021</v>
      </c>
      <c r="F1368" s="3" t="s">
        <v>3756</v>
      </c>
      <c r="G1368" s="2" t="s">
        <v>12</v>
      </c>
      <c r="H1368" s="3" t="s">
        <v>3748</v>
      </c>
      <c r="I1368" s="15" t="s">
        <v>3204</v>
      </c>
    </row>
    <row r="1369" spans="1:9" ht="30" x14ac:dyDescent="0.25">
      <c r="A1369" s="2">
        <v>1366</v>
      </c>
      <c r="B1369" s="3" t="s">
        <v>3737</v>
      </c>
      <c r="C1369" s="3" t="s">
        <v>3755</v>
      </c>
      <c r="D1369" s="3" t="s">
        <v>3755</v>
      </c>
      <c r="E1369" s="2">
        <v>2021</v>
      </c>
      <c r="F1369" s="3" t="s">
        <v>3756</v>
      </c>
      <c r="G1369" s="2" t="s">
        <v>12</v>
      </c>
      <c r="H1369" s="3" t="s">
        <v>3748</v>
      </c>
      <c r="I1369" s="15" t="s">
        <v>3204</v>
      </c>
    </row>
    <row r="1370" spans="1:9" ht="45" x14ac:dyDescent="0.25">
      <c r="A1370" s="2">
        <v>1367</v>
      </c>
      <c r="B1370" s="3" t="s">
        <v>3737</v>
      </c>
      <c r="C1370" s="3" t="s">
        <v>3757</v>
      </c>
      <c r="D1370" s="3" t="s">
        <v>3757</v>
      </c>
      <c r="E1370" s="2">
        <v>2022</v>
      </c>
      <c r="F1370" s="3">
        <v>9788170197195</v>
      </c>
      <c r="G1370" s="2" t="s">
        <v>12</v>
      </c>
      <c r="H1370" s="3" t="s">
        <v>3758</v>
      </c>
      <c r="I1370" s="12" t="s">
        <v>3204</v>
      </c>
    </row>
    <row r="1371" spans="1:9" ht="45" x14ac:dyDescent="0.25">
      <c r="A1371" s="2">
        <v>1368</v>
      </c>
      <c r="B1371" s="3" t="s">
        <v>3737</v>
      </c>
      <c r="C1371" s="3" t="s">
        <v>3757</v>
      </c>
      <c r="D1371" s="3" t="s">
        <v>3757</v>
      </c>
      <c r="E1371" s="2">
        <v>2022</v>
      </c>
      <c r="F1371" s="3">
        <v>9788170197195</v>
      </c>
      <c r="G1371" s="2" t="s">
        <v>12</v>
      </c>
      <c r="H1371" s="3" t="s">
        <v>3758</v>
      </c>
      <c r="I1371" s="15" t="s">
        <v>3204</v>
      </c>
    </row>
    <row r="1372" spans="1:9" ht="45" x14ac:dyDescent="0.25">
      <c r="A1372" s="2">
        <v>1369</v>
      </c>
      <c r="B1372" s="3" t="s">
        <v>3737</v>
      </c>
      <c r="C1372" s="3" t="s">
        <v>3757</v>
      </c>
      <c r="D1372" s="3" t="s">
        <v>3757</v>
      </c>
      <c r="E1372" s="2">
        <v>2022</v>
      </c>
      <c r="F1372" s="3">
        <v>9788170197195</v>
      </c>
      <c r="G1372" s="2" t="s">
        <v>12</v>
      </c>
      <c r="H1372" s="3" t="s">
        <v>3758</v>
      </c>
      <c r="I1372" s="15" t="s">
        <v>3204</v>
      </c>
    </row>
    <row r="1373" spans="1:9" ht="45" x14ac:dyDescent="0.25">
      <c r="A1373" s="2">
        <v>1370</v>
      </c>
      <c r="B1373" s="3" t="s">
        <v>3737</v>
      </c>
      <c r="C1373" s="3" t="s">
        <v>3759</v>
      </c>
      <c r="D1373" s="3" t="s">
        <v>3759</v>
      </c>
      <c r="E1373" s="2">
        <v>2022</v>
      </c>
      <c r="F1373" s="3" t="s">
        <v>3760</v>
      </c>
      <c r="G1373" s="2" t="s">
        <v>12</v>
      </c>
      <c r="H1373" s="3" t="s">
        <v>3753</v>
      </c>
      <c r="I1373" s="15" t="s">
        <v>3204</v>
      </c>
    </row>
    <row r="1374" spans="1:9" ht="45" x14ac:dyDescent="0.25">
      <c r="A1374" s="2">
        <v>1371</v>
      </c>
      <c r="B1374" s="3" t="s">
        <v>3737</v>
      </c>
      <c r="C1374" s="3" t="s">
        <v>3761</v>
      </c>
      <c r="D1374" s="3" t="s">
        <v>3761</v>
      </c>
      <c r="E1374" s="2">
        <v>2022</v>
      </c>
      <c r="F1374" s="3" t="s">
        <v>3760</v>
      </c>
      <c r="G1374" s="2" t="s">
        <v>12</v>
      </c>
      <c r="H1374" s="3" t="s">
        <v>3748</v>
      </c>
      <c r="I1374" s="15" t="s">
        <v>3204</v>
      </c>
    </row>
    <row r="1375" spans="1:9" ht="45" x14ac:dyDescent="0.25">
      <c r="A1375" s="2">
        <v>1372</v>
      </c>
      <c r="B1375" s="3" t="s">
        <v>3737</v>
      </c>
      <c r="C1375" s="3" t="s">
        <v>3761</v>
      </c>
      <c r="D1375" s="3" t="s">
        <v>3761</v>
      </c>
      <c r="E1375" s="2">
        <v>2022</v>
      </c>
      <c r="F1375" s="3" t="s">
        <v>3760</v>
      </c>
      <c r="G1375" s="2" t="s">
        <v>12</v>
      </c>
      <c r="H1375" s="3" t="s">
        <v>3748</v>
      </c>
      <c r="I1375" s="15" t="s">
        <v>3204</v>
      </c>
    </row>
    <row r="1376" spans="1:9" ht="45" x14ac:dyDescent="0.25">
      <c r="A1376" s="2">
        <v>1373</v>
      </c>
      <c r="B1376" s="3" t="s">
        <v>3737</v>
      </c>
      <c r="C1376" s="3" t="s">
        <v>3762</v>
      </c>
      <c r="D1376" s="3" t="s">
        <v>3762</v>
      </c>
      <c r="E1376" s="2">
        <v>2022</v>
      </c>
      <c r="F1376" s="3">
        <v>9788170119795</v>
      </c>
      <c r="G1376" s="2" t="s">
        <v>12</v>
      </c>
      <c r="H1376" s="3" t="s">
        <v>3763</v>
      </c>
      <c r="I1376" s="15" t="s">
        <v>3204</v>
      </c>
    </row>
    <row r="1377" spans="1:9" ht="30" x14ac:dyDescent="0.25">
      <c r="A1377" s="2">
        <v>1374</v>
      </c>
      <c r="B1377" s="3" t="s">
        <v>3737</v>
      </c>
      <c r="C1377" s="3" t="s">
        <v>3764</v>
      </c>
      <c r="D1377" s="3" t="s">
        <v>3764</v>
      </c>
      <c r="E1377" s="2">
        <v>2022</v>
      </c>
      <c r="F1377" s="3" t="s">
        <v>3765</v>
      </c>
      <c r="G1377" s="2" t="s">
        <v>12</v>
      </c>
      <c r="H1377" s="3" t="s">
        <v>3748</v>
      </c>
      <c r="I1377" s="15" t="s">
        <v>3204</v>
      </c>
    </row>
    <row r="1378" spans="1:9" ht="30" x14ac:dyDescent="0.25">
      <c r="A1378" s="2">
        <v>1375</v>
      </c>
      <c r="B1378" s="3" t="s">
        <v>3737</v>
      </c>
      <c r="C1378" s="3" t="s">
        <v>3764</v>
      </c>
      <c r="D1378" s="3" t="s">
        <v>3764</v>
      </c>
      <c r="E1378" s="2">
        <v>2022</v>
      </c>
      <c r="F1378" s="3" t="s">
        <v>3765</v>
      </c>
      <c r="G1378" s="2" t="s">
        <v>12</v>
      </c>
      <c r="H1378" s="3" t="s">
        <v>3748</v>
      </c>
      <c r="I1378" s="15" t="s">
        <v>3204</v>
      </c>
    </row>
    <row r="1379" spans="1:9" ht="30" x14ac:dyDescent="0.25">
      <c r="A1379" s="2">
        <v>1376</v>
      </c>
      <c r="B1379" s="3" t="s">
        <v>3737</v>
      </c>
      <c r="C1379" s="3" t="s">
        <v>3764</v>
      </c>
      <c r="D1379" s="3" t="s">
        <v>3764</v>
      </c>
      <c r="E1379" s="2">
        <v>2022</v>
      </c>
      <c r="F1379" s="3" t="s">
        <v>3765</v>
      </c>
      <c r="G1379" s="2" t="s">
        <v>12</v>
      </c>
      <c r="H1379" s="3" t="s">
        <v>3748</v>
      </c>
      <c r="I1379" s="15" t="s">
        <v>3204</v>
      </c>
    </row>
    <row r="1380" spans="1:9" ht="30" x14ac:dyDescent="0.25">
      <c r="A1380" s="2">
        <v>1377</v>
      </c>
      <c r="B1380" s="3" t="s">
        <v>3737</v>
      </c>
      <c r="C1380" s="3" t="s">
        <v>3764</v>
      </c>
      <c r="D1380" s="3" t="s">
        <v>3764</v>
      </c>
      <c r="E1380" s="2">
        <v>2022</v>
      </c>
      <c r="F1380" s="3" t="s">
        <v>3765</v>
      </c>
      <c r="G1380" s="2" t="s">
        <v>12</v>
      </c>
      <c r="H1380" s="3" t="s">
        <v>3748</v>
      </c>
      <c r="I1380" s="15" t="s">
        <v>3204</v>
      </c>
    </row>
    <row r="1381" spans="1:9" ht="30" x14ac:dyDescent="0.25">
      <c r="A1381" s="2">
        <v>1378</v>
      </c>
      <c r="B1381" s="3" t="s">
        <v>3737</v>
      </c>
      <c r="C1381" s="3" t="s">
        <v>3764</v>
      </c>
      <c r="D1381" s="3" t="s">
        <v>3764</v>
      </c>
      <c r="E1381" s="2">
        <v>2022</v>
      </c>
      <c r="F1381" s="3" t="s">
        <v>3765</v>
      </c>
      <c r="G1381" s="2" t="s">
        <v>12</v>
      </c>
      <c r="H1381" s="3" t="s">
        <v>3748</v>
      </c>
      <c r="I1381" s="15" t="s">
        <v>3204</v>
      </c>
    </row>
    <row r="1382" spans="1:9" ht="45" x14ac:dyDescent="0.25">
      <c r="A1382" s="2">
        <v>1379</v>
      </c>
      <c r="B1382" s="3" t="s">
        <v>3737</v>
      </c>
      <c r="C1382" s="3" t="s">
        <v>3766</v>
      </c>
      <c r="D1382" s="3" t="s">
        <v>3766</v>
      </c>
      <c r="E1382" s="2">
        <v>2023</v>
      </c>
      <c r="F1382" s="3" t="s">
        <v>3767</v>
      </c>
      <c r="G1382" s="2" t="s">
        <v>12</v>
      </c>
      <c r="H1382" s="3" t="s">
        <v>3768</v>
      </c>
      <c r="I1382" s="15" t="s">
        <v>3204</v>
      </c>
    </row>
    <row r="1383" spans="1:9" ht="45" x14ac:dyDescent="0.25">
      <c r="A1383" s="2">
        <v>1380</v>
      </c>
      <c r="B1383" s="3" t="s">
        <v>3737</v>
      </c>
      <c r="C1383" s="3" t="s">
        <v>3757</v>
      </c>
      <c r="D1383" s="3" t="s">
        <v>3757</v>
      </c>
      <c r="E1383" s="2">
        <v>2023</v>
      </c>
      <c r="F1383" s="3">
        <v>9788170197195</v>
      </c>
      <c r="G1383" s="2" t="s">
        <v>12</v>
      </c>
      <c r="H1383" s="3" t="s">
        <v>3758</v>
      </c>
      <c r="I1383" s="15" t="s">
        <v>3204</v>
      </c>
    </row>
    <row r="1384" spans="1:9" ht="45" x14ac:dyDescent="0.25">
      <c r="A1384" s="2">
        <v>1381</v>
      </c>
      <c r="B1384" s="3" t="s">
        <v>3737</v>
      </c>
      <c r="C1384" s="3" t="s">
        <v>3769</v>
      </c>
      <c r="D1384" s="3" t="s">
        <v>3769</v>
      </c>
      <c r="E1384" s="2">
        <v>2023</v>
      </c>
      <c r="F1384" s="3">
        <v>9788170197195</v>
      </c>
      <c r="G1384" s="2" t="s">
        <v>12</v>
      </c>
      <c r="H1384" s="3" t="s">
        <v>3758</v>
      </c>
      <c r="I1384" s="15" t="s">
        <v>3204</v>
      </c>
    </row>
    <row r="1385" spans="1:9" ht="45" x14ac:dyDescent="0.25">
      <c r="A1385" s="2">
        <v>1382</v>
      </c>
      <c r="B1385" s="3" t="s">
        <v>3737</v>
      </c>
      <c r="C1385" s="3" t="s">
        <v>3769</v>
      </c>
      <c r="D1385" s="3" t="s">
        <v>3769</v>
      </c>
      <c r="E1385" s="2">
        <v>2023</v>
      </c>
      <c r="F1385" s="3">
        <v>9788170197195</v>
      </c>
      <c r="G1385" s="2" t="s">
        <v>12</v>
      </c>
      <c r="H1385" s="3" t="s">
        <v>3758</v>
      </c>
      <c r="I1385" s="15" t="s">
        <v>3204</v>
      </c>
    </row>
    <row r="1386" spans="1:9" ht="45" x14ac:dyDescent="0.25">
      <c r="A1386" s="2">
        <v>1383</v>
      </c>
      <c r="B1386" s="3" t="s">
        <v>3737</v>
      </c>
      <c r="C1386" s="3" t="s">
        <v>3761</v>
      </c>
      <c r="D1386" s="3" t="s">
        <v>3761</v>
      </c>
      <c r="E1386" s="2">
        <v>2022</v>
      </c>
      <c r="F1386" s="3" t="s">
        <v>3760</v>
      </c>
      <c r="G1386" s="2" t="s">
        <v>12</v>
      </c>
      <c r="H1386" s="3" t="s">
        <v>3748</v>
      </c>
      <c r="I1386" s="15" t="s">
        <v>3204</v>
      </c>
    </row>
    <row r="1387" spans="1:9" ht="45" x14ac:dyDescent="0.25">
      <c r="A1387" s="2">
        <v>1384</v>
      </c>
      <c r="B1387" s="3" t="s">
        <v>3737</v>
      </c>
      <c r="C1387" s="3" t="s">
        <v>3761</v>
      </c>
      <c r="D1387" s="3" t="s">
        <v>3761</v>
      </c>
      <c r="E1387" s="2">
        <v>2022</v>
      </c>
      <c r="F1387" s="3" t="s">
        <v>3760</v>
      </c>
      <c r="G1387" s="2" t="s">
        <v>12</v>
      </c>
      <c r="H1387" s="3" t="s">
        <v>3748</v>
      </c>
      <c r="I1387" s="15" t="s">
        <v>3204</v>
      </c>
    </row>
    <row r="1388" spans="1:9" ht="30" x14ac:dyDescent="0.25">
      <c r="A1388" s="2">
        <v>1385</v>
      </c>
      <c r="B1388" s="3" t="s">
        <v>3737</v>
      </c>
      <c r="C1388" s="3" t="s">
        <v>3770</v>
      </c>
      <c r="D1388" s="3" t="s">
        <v>3770</v>
      </c>
      <c r="E1388" s="2">
        <v>2023</v>
      </c>
      <c r="F1388" s="3" t="s">
        <v>3771</v>
      </c>
      <c r="G1388" s="2" t="s">
        <v>12</v>
      </c>
      <c r="H1388" s="3" t="s">
        <v>3772</v>
      </c>
      <c r="I1388" s="15" t="s">
        <v>3204</v>
      </c>
    </row>
    <row r="1389" spans="1:9" ht="45" x14ac:dyDescent="0.25">
      <c r="A1389" s="2">
        <v>1386</v>
      </c>
      <c r="B1389" s="3" t="s">
        <v>3737</v>
      </c>
      <c r="C1389" s="3" t="s">
        <v>3766</v>
      </c>
      <c r="D1389" s="3" t="s">
        <v>3766</v>
      </c>
      <c r="E1389" s="2">
        <v>2023</v>
      </c>
      <c r="F1389" s="3" t="s">
        <v>3767</v>
      </c>
      <c r="G1389" s="2" t="s">
        <v>12</v>
      </c>
      <c r="H1389" s="3" t="s">
        <v>3768</v>
      </c>
      <c r="I1389" s="15" t="s">
        <v>3204</v>
      </c>
    </row>
    <row r="1390" spans="1:9" ht="45" x14ac:dyDescent="0.25">
      <c r="A1390" s="2">
        <v>1387</v>
      </c>
      <c r="B1390" s="3" t="s">
        <v>3737</v>
      </c>
      <c r="C1390" s="3" t="s">
        <v>3766</v>
      </c>
      <c r="D1390" s="3" t="s">
        <v>3766</v>
      </c>
      <c r="E1390" s="2">
        <v>2023</v>
      </c>
      <c r="F1390" s="3" t="s">
        <v>3767</v>
      </c>
      <c r="G1390" s="2" t="s">
        <v>12</v>
      </c>
      <c r="H1390" s="3" t="s">
        <v>3768</v>
      </c>
      <c r="I1390" s="15" t="s">
        <v>3204</v>
      </c>
    </row>
    <row r="1391" spans="1:9" ht="45" x14ac:dyDescent="0.25">
      <c r="A1391" s="2">
        <v>1388</v>
      </c>
      <c r="B1391" s="3" t="s">
        <v>3737</v>
      </c>
      <c r="C1391" s="3" t="s">
        <v>3766</v>
      </c>
      <c r="D1391" s="3" t="s">
        <v>3766</v>
      </c>
      <c r="E1391" s="2">
        <v>2023</v>
      </c>
      <c r="F1391" s="3" t="s">
        <v>3767</v>
      </c>
      <c r="G1391" s="2" t="s">
        <v>12</v>
      </c>
      <c r="H1391" s="3" t="s">
        <v>3768</v>
      </c>
      <c r="I1391" s="15" t="s">
        <v>3204</v>
      </c>
    </row>
    <row r="1392" spans="1:9" ht="45" x14ac:dyDescent="0.25">
      <c r="A1392" s="2">
        <v>1389</v>
      </c>
      <c r="B1392" s="3" t="s">
        <v>3737</v>
      </c>
      <c r="C1392" s="3" t="s">
        <v>3766</v>
      </c>
      <c r="D1392" s="3" t="s">
        <v>3766</v>
      </c>
      <c r="E1392" s="2">
        <v>2023</v>
      </c>
      <c r="F1392" s="3" t="s">
        <v>3767</v>
      </c>
      <c r="G1392" s="2" t="s">
        <v>12</v>
      </c>
      <c r="H1392" s="3" t="s">
        <v>3768</v>
      </c>
      <c r="I1392" s="15" t="s">
        <v>3204</v>
      </c>
    </row>
    <row r="1393" spans="1:9" ht="45" x14ac:dyDescent="0.25">
      <c r="A1393" s="2">
        <v>1390</v>
      </c>
      <c r="B1393" s="3" t="s">
        <v>3737</v>
      </c>
      <c r="C1393" s="3" t="s">
        <v>3766</v>
      </c>
      <c r="D1393" s="3" t="s">
        <v>3766</v>
      </c>
      <c r="E1393" s="2">
        <v>2023</v>
      </c>
      <c r="F1393" s="3" t="s">
        <v>3767</v>
      </c>
      <c r="G1393" s="2" t="s">
        <v>12</v>
      </c>
      <c r="H1393" s="3" t="s">
        <v>3768</v>
      </c>
      <c r="I1393" s="15" t="s">
        <v>3204</v>
      </c>
    </row>
    <row r="1394" spans="1:9" ht="45" x14ac:dyDescent="0.25">
      <c r="A1394" s="2">
        <v>1391</v>
      </c>
      <c r="B1394" s="3" t="s">
        <v>3737</v>
      </c>
      <c r="C1394" s="3" t="s">
        <v>3766</v>
      </c>
      <c r="D1394" s="3" t="s">
        <v>3766</v>
      </c>
      <c r="E1394" s="2">
        <v>2023</v>
      </c>
      <c r="F1394" s="3" t="s">
        <v>3767</v>
      </c>
      <c r="G1394" s="2" t="s">
        <v>12</v>
      </c>
      <c r="H1394" s="3" t="s">
        <v>3768</v>
      </c>
      <c r="I1394" s="15" t="s">
        <v>3204</v>
      </c>
    </row>
    <row r="1395" spans="1:9" ht="45" x14ac:dyDescent="0.25">
      <c r="A1395" s="2">
        <v>1392</v>
      </c>
      <c r="B1395" s="3" t="s">
        <v>3737</v>
      </c>
      <c r="C1395" s="3" t="s">
        <v>3766</v>
      </c>
      <c r="D1395" s="3" t="s">
        <v>3766</v>
      </c>
      <c r="E1395" s="2">
        <v>2023</v>
      </c>
      <c r="F1395" s="3" t="s">
        <v>3767</v>
      </c>
      <c r="G1395" s="2" t="s">
        <v>12</v>
      </c>
      <c r="H1395" s="3" t="s">
        <v>3768</v>
      </c>
      <c r="I1395" s="15" t="s">
        <v>3204</v>
      </c>
    </row>
    <row r="1396" spans="1:9" ht="45" x14ac:dyDescent="0.25">
      <c r="A1396" s="2">
        <v>1393</v>
      </c>
      <c r="B1396" s="3" t="s">
        <v>3737</v>
      </c>
      <c r="C1396" s="3" t="s">
        <v>3766</v>
      </c>
      <c r="D1396" s="3" t="s">
        <v>3766</v>
      </c>
      <c r="E1396" s="2">
        <v>2023</v>
      </c>
      <c r="F1396" s="3" t="s">
        <v>3767</v>
      </c>
      <c r="G1396" s="2" t="s">
        <v>12</v>
      </c>
      <c r="H1396" s="3" t="s">
        <v>3768</v>
      </c>
      <c r="I1396" s="15" t="s">
        <v>3204</v>
      </c>
    </row>
    <row r="1397" spans="1:9" ht="45" x14ac:dyDescent="0.25">
      <c r="A1397" s="2">
        <v>1394</v>
      </c>
      <c r="B1397" s="3" t="s">
        <v>3737</v>
      </c>
      <c r="C1397" s="3" t="s">
        <v>3757</v>
      </c>
      <c r="D1397" s="3" t="s">
        <v>3757</v>
      </c>
      <c r="E1397" s="2">
        <v>2022</v>
      </c>
      <c r="F1397" s="3">
        <v>9788170197195</v>
      </c>
      <c r="G1397" s="2" t="s">
        <v>12</v>
      </c>
      <c r="H1397" s="3" t="s">
        <v>3758</v>
      </c>
      <c r="I1397" s="15" t="s">
        <v>3204</v>
      </c>
    </row>
    <row r="1398" spans="1:9" ht="45" x14ac:dyDescent="0.25">
      <c r="A1398" s="2">
        <v>1395</v>
      </c>
      <c r="B1398" s="3" t="s">
        <v>3737</v>
      </c>
      <c r="C1398" s="3" t="s">
        <v>3766</v>
      </c>
      <c r="D1398" s="3" t="s">
        <v>3766</v>
      </c>
      <c r="E1398" s="2">
        <v>2023</v>
      </c>
      <c r="F1398" s="3" t="s">
        <v>3767</v>
      </c>
      <c r="G1398" s="2" t="s">
        <v>12</v>
      </c>
      <c r="H1398" s="3" t="s">
        <v>3768</v>
      </c>
      <c r="I1398" s="15" t="s">
        <v>3204</v>
      </c>
    </row>
    <row r="1399" spans="1:9" ht="45" x14ac:dyDescent="0.25">
      <c r="A1399" s="2">
        <v>1396</v>
      </c>
      <c r="B1399" s="3" t="s">
        <v>3773</v>
      </c>
      <c r="C1399" s="3" t="s">
        <v>3774</v>
      </c>
      <c r="D1399" s="3" t="s">
        <v>3774</v>
      </c>
      <c r="E1399" s="2">
        <v>2018</v>
      </c>
      <c r="F1399" s="3" t="s">
        <v>3775</v>
      </c>
      <c r="G1399" s="2" t="s">
        <v>12</v>
      </c>
      <c r="H1399" s="3" t="s">
        <v>3776</v>
      </c>
      <c r="I1399" s="15" t="s">
        <v>3204</v>
      </c>
    </row>
    <row r="1400" spans="1:9" ht="45" x14ac:dyDescent="0.25">
      <c r="A1400" s="2">
        <v>1397</v>
      </c>
      <c r="B1400" s="3" t="s">
        <v>3777</v>
      </c>
      <c r="C1400" s="3" t="s">
        <v>3774</v>
      </c>
      <c r="D1400" s="3" t="s">
        <v>3774</v>
      </c>
      <c r="E1400" s="2">
        <v>2019</v>
      </c>
      <c r="F1400" s="3" t="s">
        <v>3775</v>
      </c>
      <c r="G1400" s="2" t="s">
        <v>12</v>
      </c>
      <c r="H1400" s="3" t="s">
        <v>3776</v>
      </c>
      <c r="I1400" s="15" t="s">
        <v>3204</v>
      </c>
    </row>
    <row r="1401" spans="1:9" ht="30" x14ac:dyDescent="0.25">
      <c r="A1401" s="2">
        <v>1398</v>
      </c>
      <c r="B1401" s="3" t="s">
        <v>3773</v>
      </c>
      <c r="C1401" s="3" t="s">
        <v>3778</v>
      </c>
      <c r="D1401" s="3" t="s">
        <v>3778</v>
      </c>
      <c r="E1401" s="2">
        <v>2018</v>
      </c>
      <c r="F1401" s="3" t="s">
        <v>3779</v>
      </c>
      <c r="G1401" s="2" t="s">
        <v>12</v>
      </c>
      <c r="H1401" s="3" t="s">
        <v>3780</v>
      </c>
      <c r="I1401" s="12" t="s">
        <v>3204</v>
      </c>
    </row>
    <row r="1402" spans="1:9" ht="60" x14ac:dyDescent="0.25">
      <c r="A1402" s="2">
        <v>1399</v>
      </c>
      <c r="B1402" s="3" t="s">
        <v>3781</v>
      </c>
      <c r="C1402" s="3" t="s">
        <v>3782</v>
      </c>
      <c r="D1402" s="3" t="s">
        <v>3782</v>
      </c>
      <c r="E1402" s="2">
        <v>2021</v>
      </c>
      <c r="F1402" s="3" t="s">
        <v>3201</v>
      </c>
      <c r="G1402" s="2" t="s">
        <v>12</v>
      </c>
      <c r="H1402" s="3" t="s">
        <v>3394</v>
      </c>
      <c r="I1402" s="15" t="s">
        <v>3204</v>
      </c>
    </row>
    <row r="1403" spans="1:9" x14ac:dyDescent="0.25">
      <c r="A1403" s="2">
        <v>1400</v>
      </c>
      <c r="B1403" s="3" t="s">
        <v>3783</v>
      </c>
      <c r="C1403" s="3" t="s">
        <v>3784</v>
      </c>
      <c r="D1403" s="3" t="s">
        <v>3784</v>
      </c>
      <c r="E1403" s="2">
        <v>2019</v>
      </c>
      <c r="F1403" s="3" t="s">
        <v>3785</v>
      </c>
      <c r="G1403" s="2" t="s">
        <v>12</v>
      </c>
      <c r="H1403" s="3" t="s">
        <v>3786</v>
      </c>
      <c r="I1403" s="15" t="s">
        <v>3204</v>
      </c>
    </row>
    <row r="1404" spans="1:9" ht="30" x14ac:dyDescent="0.25">
      <c r="A1404" s="2">
        <v>1401</v>
      </c>
      <c r="B1404" s="3" t="s">
        <v>3787</v>
      </c>
      <c r="C1404" s="3" t="s">
        <v>3788</v>
      </c>
      <c r="D1404" s="3" t="s">
        <v>3788</v>
      </c>
      <c r="E1404" s="2">
        <v>2021</v>
      </c>
      <c r="F1404" s="3">
        <v>9789391501051</v>
      </c>
      <c r="G1404" s="2" t="s">
        <v>12</v>
      </c>
      <c r="H1404" s="3" t="s">
        <v>3789</v>
      </c>
      <c r="I1404" s="15" t="s">
        <v>3204</v>
      </c>
    </row>
    <row r="1405" spans="1:9" ht="30" x14ac:dyDescent="0.25">
      <c r="A1405" s="2">
        <v>1402</v>
      </c>
      <c r="B1405" s="3" t="s">
        <v>3783</v>
      </c>
      <c r="C1405" s="3" t="s">
        <v>3790</v>
      </c>
      <c r="D1405" s="3" t="s">
        <v>3790</v>
      </c>
      <c r="E1405" s="2">
        <v>2021</v>
      </c>
      <c r="F1405" s="3">
        <v>9788195037346</v>
      </c>
      <c r="G1405" s="2" t="s">
        <v>12</v>
      </c>
      <c r="H1405" s="3" t="s">
        <v>3789</v>
      </c>
      <c r="I1405" s="15" t="s">
        <v>3204</v>
      </c>
    </row>
    <row r="1406" spans="1:9" ht="75" x14ac:dyDescent="0.25">
      <c r="A1406" s="2">
        <v>1403</v>
      </c>
      <c r="B1406" s="3" t="s">
        <v>3783</v>
      </c>
      <c r="C1406" s="3" t="s">
        <v>3791</v>
      </c>
      <c r="D1406" s="3" t="s">
        <v>3791</v>
      </c>
      <c r="E1406" s="2">
        <v>2022</v>
      </c>
      <c r="F1406" s="3" t="s">
        <v>3792</v>
      </c>
      <c r="G1406" s="2" t="s">
        <v>12</v>
      </c>
      <c r="H1406" s="3" t="s">
        <v>3793</v>
      </c>
      <c r="I1406" s="15" t="s">
        <v>3204</v>
      </c>
    </row>
    <row r="1407" spans="1:9" ht="90" x14ac:dyDescent="0.25">
      <c r="A1407" s="2">
        <v>1404</v>
      </c>
      <c r="B1407" s="3" t="s">
        <v>3783</v>
      </c>
      <c r="C1407" s="3" t="s">
        <v>3794</v>
      </c>
      <c r="D1407" s="3" t="s">
        <v>3794</v>
      </c>
      <c r="E1407" s="2">
        <v>2022</v>
      </c>
      <c r="F1407" s="3" t="s">
        <v>3795</v>
      </c>
      <c r="G1407" s="2" t="s">
        <v>12</v>
      </c>
      <c r="H1407" s="3" t="s">
        <v>3796</v>
      </c>
      <c r="I1407" s="15" t="s">
        <v>3204</v>
      </c>
    </row>
    <row r="1408" spans="1:9" ht="30" x14ac:dyDescent="0.25">
      <c r="A1408" s="2">
        <v>1405</v>
      </c>
      <c r="B1408" s="3" t="s">
        <v>3797</v>
      </c>
      <c r="C1408" s="3" t="s">
        <v>3798</v>
      </c>
      <c r="D1408" s="3" t="s">
        <v>3798</v>
      </c>
      <c r="E1408" s="2">
        <v>2019</v>
      </c>
      <c r="F1408" s="3" t="s">
        <v>3799</v>
      </c>
      <c r="G1408" s="2" t="s">
        <v>12</v>
      </c>
      <c r="H1408" s="3" t="s">
        <v>3800</v>
      </c>
      <c r="I1408" s="15" t="s">
        <v>3204</v>
      </c>
    </row>
    <row r="1409" spans="1:9" ht="30" x14ac:dyDescent="0.25">
      <c r="A1409" s="2">
        <v>1406</v>
      </c>
      <c r="B1409" s="3" t="s">
        <v>3797</v>
      </c>
      <c r="C1409" s="3" t="s">
        <v>3798</v>
      </c>
      <c r="D1409" s="3" t="s">
        <v>3798</v>
      </c>
      <c r="E1409" s="2">
        <v>2020</v>
      </c>
      <c r="F1409" s="3" t="s">
        <v>3799</v>
      </c>
      <c r="G1409" s="2" t="s">
        <v>12</v>
      </c>
      <c r="H1409" s="3" t="s">
        <v>3801</v>
      </c>
      <c r="I1409" s="15" t="s">
        <v>3204</v>
      </c>
    </row>
    <row r="1410" spans="1:9" ht="30" x14ac:dyDescent="0.25">
      <c r="A1410" s="2">
        <v>1407</v>
      </c>
      <c r="B1410" s="3" t="s">
        <v>3797</v>
      </c>
      <c r="C1410" s="3" t="s">
        <v>3802</v>
      </c>
      <c r="D1410" s="3" t="s">
        <v>3802</v>
      </c>
      <c r="E1410" s="2">
        <v>2021</v>
      </c>
      <c r="F1410" s="3" t="s">
        <v>3803</v>
      </c>
      <c r="G1410" s="2" t="s">
        <v>12</v>
      </c>
      <c r="H1410" s="3" t="s">
        <v>3804</v>
      </c>
      <c r="I1410" s="15" t="s">
        <v>3204</v>
      </c>
    </row>
    <row r="1411" spans="1:9" ht="45" x14ac:dyDescent="0.25">
      <c r="A1411" s="2">
        <v>1408</v>
      </c>
      <c r="B1411" s="3" t="s">
        <v>3797</v>
      </c>
      <c r="C1411" s="3" t="s">
        <v>3805</v>
      </c>
      <c r="D1411" s="3" t="s">
        <v>3805</v>
      </c>
      <c r="E1411" s="2">
        <v>2021</v>
      </c>
      <c r="F1411" s="3" t="s">
        <v>3803</v>
      </c>
      <c r="G1411" s="2" t="s">
        <v>12</v>
      </c>
      <c r="H1411" s="3" t="s">
        <v>3804</v>
      </c>
      <c r="I1411" s="15" t="s">
        <v>3204</v>
      </c>
    </row>
    <row r="1412" spans="1:9" ht="30" x14ac:dyDescent="0.25">
      <c r="A1412" s="2">
        <v>1409</v>
      </c>
      <c r="B1412" s="3" t="s">
        <v>3806</v>
      </c>
      <c r="C1412" s="3" t="s">
        <v>3807</v>
      </c>
      <c r="D1412" s="3" t="s">
        <v>3807</v>
      </c>
      <c r="E1412" s="2">
        <v>2021</v>
      </c>
      <c r="F1412" s="3" t="s">
        <v>3348</v>
      </c>
      <c r="G1412" s="2" t="s">
        <v>12</v>
      </c>
      <c r="H1412" s="3" t="s">
        <v>3808</v>
      </c>
      <c r="I1412" s="15" t="s">
        <v>3204</v>
      </c>
    </row>
    <row r="1413" spans="1:9" ht="45" x14ac:dyDescent="0.25">
      <c r="A1413" s="2">
        <v>1410</v>
      </c>
      <c r="B1413" s="3" t="s">
        <v>3797</v>
      </c>
      <c r="C1413" s="3" t="s">
        <v>3809</v>
      </c>
      <c r="D1413" s="3" t="s">
        <v>3809</v>
      </c>
      <c r="E1413" s="2">
        <v>2022</v>
      </c>
      <c r="F1413" s="3" t="s">
        <v>3201</v>
      </c>
      <c r="G1413" s="2" t="s">
        <v>12</v>
      </c>
      <c r="H1413" s="3" t="s">
        <v>3810</v>
      </c>
      <c r="I1413" s="15" t="s">
        <v>3204</v>
      </c>
    </row>
    <row r="1414" spans="1:9" ht="30" x14ac:dyDescent="0.25">
      <c r="A1414" s="2">
        <v>1411</v>
      </c>
      <c r="B1414" s="3" t="s">
        <v>3806</v>
      </c>
      <c r="C1414" s="3" t="s">
        <v>3811</v>
      </c>
      <c r="D1414" s="3" t="s">
        <v>3811</v>
      </c>
      <c r="E1414" s="2">
        <v>2022</v>
      </c>
      <c r="F1414" s="3">
        <v>9789393985132</v>
      </c>
      <c r="G1414" s="2" t="s">
        <v>12</v>
      </c>
      <c r="H1414" s="3" t="s">
        <v>3812</v>
      </c>
      <c r="I1414" s="15" t="s">
        <v>3204</v>
      </c>
    </row>
    <row r="1415" spans="1:9" ht="30" x14ac:dyDescent="0.25">
      <c r="A1415" s="2">
        <v>1412</v>
      </c>
      <c r="B1415" s="3" t="s">
        <v>3806</v>
      </c>
      <c r="C1415" s="3" t="s">
        <v>3813</v>
      </c>
      <c r="D1415" s="3" t="s">
        <v>3813</v>
      </c>
      <c r="E1415" s="2">
        <v>2021</v>
      </c>
      <c r="F1415" s="3" t="s">
        <v>3201</v>
      </c>
      <c r="G1415" s="2" t="s">
        <v>12</v>
      </c>
      <c r="H1415" s="3" t="s">
        <v>3814</v>
      </c>
      <c r="I1415" s="15" t="s">
        <v>3204</v>
      </c>
    </row>
    <row r="1416" spans="1:9" ht="30" x14ac:dyDescent="0.25">
      <c r="A1416" s="2">
        <v>1413</v>
      </c>
      <c r="B1416" s="3" t="s">
        <v>3806</v>
      </c>
      <c r="C1416" s="3" t="s">
        <v>3807</v>
      </c>
      <c r="D1416" s="3" t="s">
        <v>3807</v>
      </c>
      <c r="E1416" s="2">
        <v>2022</v>
      </c>
      <c r="F1416" s="3">
        <v>9789381289952</v>
      </c>
      <c r="G1416" s="2" t="s">
        <v>12</v>
      </c>
      <c r="H1416" s="3" t="s">
        <v>3815</v>
      </c>
      <c r="I1416" s="15" t="s">
        <v>3204</v>
      </c>
    </row>
    <row r="1417" spans="1:9" ht="30" x14ac:dyDescent="0.25">
      <c r="A1417" s="2">
        <v>1414</v>
      </c>
      <c r="B1417" s="3" t="s">
        <v>3797</v>
      </c>
      <c r="C1417" s="3" t="s">
        <v>3816</v>
      </c>
      <c r="D1417" s="3" t="s">
        <v>3816</v>
      </c>
      <c r="E1417" s="2">
        <v>2022</v>
      </c>
      <c r="F1417" s="3" t="s">
        <v>3817</v>
      </c>
      <c r="G1417" s="2" t="s">
        <v>12</v>
      </c>
      <c r="H1417" s="3" t="s">
        <v>3818</v>
      </c>
      <c r="I1417" s="15" t="s">
        <v>3204</v>
      </c>
    </row>
    <row r="1418" spans="1:9" ht="30" x14ac:dyDescent="0.25">
      <c r="A1418" s="2">
        <v>1415</v>
      </c>
      <c r="B1418" s="3" t="s">
        <v>3797</v>
      </c>
      <c r="C1418" s="3" t="s">
        <v>3819</v>
      </c>
      <c r="D1418" s="3" t="s">
        <v>3819</v>
      </c>
      <c r="E1418" s="2">
        <v>2022</v>
      </c>
      <c r="F1418" s="3" t="s">
        <v>3820</v>
      </c>
      <c r="G1418" s="2" t="s">
        <v>12</v>
      </c>
      <c r="H1418" s="3" t="s">
        <v>3818</v>
      </c>
      <c r="I1418" s="15" t="s">
        <v>3204</v>
      </c>
    </row>
    <row r="1419" spans="1:9" ht="30" x14ac:dyDescent="0.25">
      <c r="A1419" s="2">
        <v>1416</v>
      </c>
      <c r="B1419" s="3" t="s">
        <v>3797</v>
      </c>
      <c r="C1419" s="3" t="s">
        <v>3821</v>
      </c>
      <c r="D1419" s="3" t="s">
        <v>3821</v>
      </c>
      <c r="E1419" s="2">
        <v>2022</v>
      </c>
      <c r="F1419" s="3" t="s">
        <v>3822</v>
      </c>
      <c r="G1419" s="2" t="s">
        <v>12</v>
      </c>
      <c r="H1419" s="3" t="s">
        <v>3818</v>
      </c>
      <c r="I1419" s="15" t="s">
        <v>3204</v>
      </c>
    </row>
    <row r="1420" spans="1:9" ht="30" x14ac:dyDescent="0.25">
      <c r="A1420" s="2">
        <v>1417</v>
      </c>
      <c r="B1420" s="3" t="s">
        <v>3797</v>
      </c>
      <c r="C1420" s="3" t="s">
        <v>3823</v>
      </c>
      <c r="D1420" s="3" t="s">
        <v>3823</v>
      </c>
      <c r="E1420" s="2">
        <v>2022</v>
      </c>
      <c r="F1420" s="3" t="s">
        <v>3824</v>
      </c>
      <c r="G1420" s="2" t="s">
        <v>12</v>
      </c>
      <c r="H1420" s="3" t="s">
        <v>3818</v>
      </c>
      <c r="I1420" s="15" t="s">
        <v>3204</v>
      </c>
    </row>
    <row r="1421" spans="1:9" ht="30" x14ac:dyDescent="0.25">
      <c r="A1421" s="2">
        <v>1418</v>
      </c>
      <c r="B1421" s="3" t="s">
        <v>3797</v>
      </c>
      <c r="C1421" s="3" t="s">
        <v>3825</v>
      </c>
      <c r="D1421" s="3" t="s">
        <v>3825</v>
      </c>
      <c r="E1421" s="2">
        <v>2023</v>
      </c>
      <c r="F1421" s="3" t="s">
        <v>3826</v>
      </c>
      <c r="G1421" s="2" t="s">
        <v>12</v>
      </c>
      <c r="H1421" s="3" t="s">
        <v>3818</v>
      </c>
      <c r="I1421" s="15" t="s">
        <v>3204</v>
      </c>
    </row>
    <row r="1422" spans="1:9" ht="30" x14ac:dyDescent="0.25">
      <c r="A1422" s="2">
        <v>1419</v>
      </c>
      <c r="B1422" s="3" t="s">
        <v>3827</v>
      </c>
      <c r="C1422" s="3" t="s">
        <v>3828</v>
      </c>
      <c r="D1422" s="3" t="s">
        <v>3828</v>
      </c>
      <c r="E1422" s="2">
        <v>2021</v>
      </c>
      <c r="F1422" s="3" t="s">
        <v>3829</v>
      </c>
      <c r="G1422" s="2" t="s">
        <v>12</v>
      </c>
      <c r="H1422" s="3" t="s">
        <v>3830</v>
      </c>
      <c r="I1422" s="12" t="s">
        <v>3204</v>
      </c>
    </row>
    <row r="1423" spans="1:9" ht="45" x14ac:dyDescent="0.25">
      <c r="A1423" s="2">
        <v>1420</v>
      </c>
      <c r="B1423" s="3" t="s">
        <v>3827</v>
      </c>
      <c r="C1423" s="3" t="s">
        <v>3831</v>
      </c>
      <c r="D1423" s="3" t="s">
        <v>3831</v>
      </c>
      <c r="E1423" s="2">
        <v>2022</v>
      </c>
      <c r="F1423" s="3" t="s">
        <v>3832</v>
      </c>
      <c r="G1423" s="2" t="s">
        <v>12</v>
      </c>
      <c r="H1423" s="3" t="s">
        <v>3833</v>
      </c>
      <c r="I1423" s="15" t="s">
        <v>3204</v>
      </c>
    </row>
    <row r="1424" spans="1:9" ht="45" x14ac:dyDescent="0.25">
      <c r="A1424" s="2">
        <v>1421</v>
      </c>
      <c r="B1424" s="3" t="s">
        <v>3827</v>
      </c>
      <c r="C1424" s="3" t="s">
        <v>3831</v>
      </c>
      <c r="D1424" s="3" t="s">
        <v>3831</v>
      </c>
      <c r="E1424" s="2">
        <v>2022</v>
      </c>
      <c r="F1424" s="3" t="s">
        <v>3201</v>
      </c>
      <c r="G1424" s="2" t="s">
        <v>12</v>
      </c>
      <c r="H1424" s="3" t="s">
        <v>3834</v>
      </c>
      <c r="I1424" s="12" t="s">
        <v>3204</v>
      </c>
    </row>
    <row r="1425" spans="1:9" ht="30" x14ac:dyDescent="0.25">
      <c r="A1425" s="2">
        <v>1422</v>
      </c>
      <c r="B1425" s="3" t="s">
        <v>3827</v>
      </c>
      <c r="C1425" s="3" t="s">
        <v>3828</v>
      </c>
      <c r="D1425" s="3" t="s">
        <v>3828</v>
      </c>
      <c r="E1425" s="2">
        <v>2021</v>
      </c>
      <c r="F1425" s="3" t="s">
        <v>3835</v>
      </c>
      <c r="G1425" s="2" t="s">
        <v>12</v>
      </c>
      <c r="H1425" s="3" t="s">
        <v>3201</v>
      </c>
      <c r="I1425" s="12" t="s">
        <v>3204</v>
      </c>
    </row>
    <row r="1426" spans="1:9" ht="45" x14ac:dyDescent="0.25">
      <c r="A1426" s="2">
        <v>1423</v>
      </c>
      <c r="B1426" s="3" t="s">
        <v>3836</v>
      </c>
      <c r="C1426" s="3" t="s">
        <v>3837</v>
      </c>
      <c r="D1426" s="3" t="s">
        <v>3837</v>
      </c>
      <c r="E1426" s="2">
        <v>2019</v>
      </c>
      <c r="F1426" s="3" t="s">
        <v>3838</v>
      </c>
      <c r="G1426" s="2" t="s">
        <v>12</v>
      </c>
      <c r="H1426" s="3" t="s">
        <v>3839</v>
      </c>
      <c r="I1426" s="15" t="s">
        <v>3204</v>
      </c>
    </row>
    <row r="1427" spans="1:9" ht="30" x14ac:dyDescent="0.25">
      <c r="A1427" s="2">
        <v>1424</v>
      </c>
      <c r="B1427" s="3" t="s">
        <v>3840</v>
      </c>
      <c r="C1427" s="3" t="s">
        <v>3841</v>
      </c>
      <c r="D1427" s="3" t="s">
        <v>3841</v>
      </c>
      <c r="E1427" s="2">
        <v>2018</v>
      </c>
      <c r="F1427" s="3" t="s">
        <v>3842</v>
      </c>
      <c r="G1427" s="2" t="s">
        <v>12</v>
      </c>
      <c r="H1427" s="3" t="s">
        <v>3843</v>
      </c>
      <c r="I1427" s="15" t="s">
        <v>3204</v>
      </c>
    </row>
    <row r="1428" spans="1:9" ht="30" x14ac:dyDescent="0.25">
      <c r="A1428" s="2">
        <v>1425</v>
      </c>
      <c r="B1428" s="3" t="s">
        <v>3840</v>
      </c>
      <c r="C1428" s="3" t="s">
        <v>3844</v>
      </c>
      <c r="D1428" s="3" t="s">
        <v>3844</v>
      </c>
      <c r="E1428" s="2">
        <v>2018</v>
      </c>
      <c r="F1428" s="3" t="s">
        <v>3845</v>
      </c>
      <c r="G1428" s="2" t="s">
        <v>12</v>
      </c>
      <c r="H1428" s="3" t="s">
        <v>3846</v>
      </c>
      <c r="I1428" s="12" t="s">
        <v>3204</v>
      </c>
    </row>
    <row r="1429" spans="1:9" ht="45" x14ac:dyDescent="0.25">
      <c r="A1429" s="2">
        <v>1426</v>
      </c>
      <c r="B1429" s="3" t="s">
        <v>3847</v>
      </c>
      <c r="C1429" s="3" t="s">
        <v>3848</v>
      </c>
      <c r="D1429" s="3" t="s">
        <v>3848</v>
      </c>
      <c r="E1429" s="2">
        <v>2019</v>
      </c>
      <c r="F1429" s="3" t="s">
        <v>3849</v>
      </c>
      <c r="G1429" s="2" t="s">
        <v>12</v>
      </c>
      <c r="H1429" s="3" t="s">
        <v>3850</v>
      </c>
      <c r="I1429" s="12" t="s">
        <v>3204</v>
      </c>
    </row>
    <row r="1430" spans="1:9" ht="60" x14ac:dyDescent="0.25">
      <c r="A1430" s="2">
        <v>1427</v>
      </c>
      <c r="B1430" s="3" t="s">
        <v>3847</v>
      </c>
      <c r="C1430" s="3" t="s">
        <v>3851</v>
      </c>
      <c r="D1430" s="3" t="s">
        <v>3851</v>
      </c>
      <c r="E1430" s="2">
        <v>2019</v>
      </c>
      <c r="F1430" s="3">
        <v>51098391</v>
      </c>
      <c r="G1430" s="2" t="s">
        <v>12</v>
      </c>
      <c r="H1430" s="3" t="s">
        <v>3852</v>
      </c>
      <c r="I1430" s="12" t="s">
        <v>3204</v>
      </c>
    </row>
    <row r="1431" spans="1:9" ht="75" x14ac:dyDescent="0.25">
      <c r="A1431" s="2">
        <v>1428</v>
      </c>
      <c r="B1431" s="3" t="s">
        <v>3853</v>
      </c>
      <c r="C1431" s="3" t="s">
        <v>3854</v>
      </c>
      <c r="D1431" s="3" t="s">
        <v>3854</v>
      </c>
      <c r="E1431" s="2">
        <v>2019</v>
      </c>
      <c r="F1431" s="3" t="s">
        <v>3855</v>
      </c>
      <c r="G1431" s="2" t="s">
        <v>12</v>
      </c>
      <c r="H1431" s="3" t="s">
        <v>3856</v>
      </c>
      <c r="I1431" s="12" t="s">
        <v>3204</v>
      </c>
    </row>
    <row r="1432" spans="1:9" ht="90" x14ac:dyDescent="0.25">
      <c r="A1432" s="2">
        <v>1429</v>
      </c>
      <c r="B1432" s="3" t="s">
        <v>3857</v>
      </c>
      <c r="C1432" s="3" t="s">
        <v>3858</v>
      </c>
      <c r="D1432" s="3" t="s">
        <v>3858</v>
      </c>
      <c r="E1432" s="2">
        <v>2019</v>
      </c>
      <c r="F1432" s="3" t="s">
        <v>3855</v>
      </c>
      <c r="G1432" s="2" t="s">
        <v>12</v>
      </c>
      <c r="H1432" s="3" t="s">
        <v>3859</v>
      </c>
      <c r="I1432" s="12" t="s">
        <v>3204</v>
      </c>
    </row>
    <row r="1433" spans="1:9" ht="60" x14ac:dyDescent="0.25">
      <c r="A1433" s="2">
        <v>1430</v>
      </c>
      <c r="B1433" s="3" t="s">
        <v>3857</v>
      </c>
      <c r="C1433" s="3" t="s">
        <v>3860</v>
      </c>
      <c r="D1433" s="3" t="s">
        <v>3860</v>
      </c>
      <c r="E1433" s="2">
        <v>2019</v>
      </c>
      <c r="F1433" s="3" t="s">
        <v>3855</v>
      </c>
      <c r="G1433" s="2" t="s">
        <v>12</v>
      </c>
      <c r="H1433" s="3" t="s">
        <v>3859</v>
      </c>
      <c r="I1433" s="12" t="s">
        <v>3204</v>
      </c>
    </row>
    <row r="1434" spans="1:9" ht="60" x14ac:dyDescent="0.25">
      <c r="A1434" s="2">
        <v>1431</v>
      </c>
      <c r="B1434" s="3" t="s">
        <v>3857</v>
      </c>
      <c r="C1434" s="3" t="s">
        <v>3861</v>
      </c>
      <c r="D1434" s="3" t="s">
        <v>3861</v>
      </c>
      <c r="E1434" s="2">
        <v>2019</v>
      </c>
      <c r="F1434" s="3" t="s">
        <v>3855</v>
      </c>
      <c r="G1434" s="2" t="s">
        <v>12</v>
      </c>
      <c r="H1434" s="3" t="s">
        <v>3859</v>
      </c>
      <c r="I1434" s="12" t="s">
        <v>3204</v>
      </c>
    </row>
    <row r="1435" spans="1:9" ht="30" x14ac:dyDescent="0.25">
      <c r="A1435" s="2">
        <v>1432</v>
      </c>
      <c r="B1435" s="3" t="s">
        <v>3862</v>
      </c>
      <c r="C1435" s="3" t="s">
        <v>3863</v>
      </c>
      <c r="D1435" s="3" t="s">
        <v>3863</v>
      </c>
      <c r="E1435" s="2">
        <v>2016</v>
      </c>
      <c r="F1435" s="3" t="s">
        <v>3864</v>
      </c>
      <c r="G1435" s="2" t="s">
        <v>12</v>
      </c>
      <c r="H1435" s="3" t="s">
        <v>3865</v>
      </c>
      <c r="I1435" s="12" t="s">
        <v>3204</v>
      </c>
    </row>
    <row r="1436" spans="1:9" ht="30" x14ac:dyDescent="0.25">
      <c r="A1436" s="2">
        <v>1433</v>
      </c>
      <c r="B1436" s="3" t="s">
        <v>3866</v>
      </c>
      <c r="C1436" s="3" t="s">
        <v>3867</v>
      </c>
      <c r="D1436" s="3" t="s">
        <v>3867</v>
      </c>
      <c r="E1436" s="2">
        <v>2019</v>
      </c>
      <c r="F1436" s="3" t="s">
        <v>3868</v>
      </c>
      <c r="G1436" s="2" t="s">
        <v>12</v>
      </c>
      <c r="H1436" s="3" t="s">
        <v>3869</v>
      </c>
      <c r="I1436" s="15" t="s">
        <v>3204</v>
      </c>
    </row>
    <row r="1437" spans="1:9" ht="30" x14ac:dyDescent="0.25">
      <c r="A1437" s="2">
        <v>1434</v>
      </c>
      <c r="B1437" s="3" t="s">
        <v>3866</v>
      </c>
      <c r="C1437" s="3" t="s">
        <v>3870</v>
      </c>
      <c r="D1437" s="3" t="s">
        <v>3870</v>
      </c>
      <c r="E1437" s="2">
        <v>2019</v>
      </c>
      <c r="F1437" s="3" t="s">
        <v>3871</v>
      </c>
      <c r="G1437" s="2" t="s">
        <v>12</v>
      </c>
      <c r="H1437" s="3" t="s">
        <v>3872</v>
      </c>
      <c r="I1437" s="15" t="s">
        <v>3204</v>
      </c>
    </row>
    <row r="1438" spans="1:9" ht="45" x14ac:dyDescent="0.25">
      <c r="A1438" s="2">
        <v>1435</v>
      </c>
      <c r="B1438" s="3" t="s">
        <v>3873</v>
      </c>
      <c r="C1438" s="3" t="s">
        <v>3874</v>
      </c>
      <c r="D1438" s="3" t="s">
        <v>3874</v>
      </c>
      <c r="E1438" s="2">
        <v>2020</v>
      </c>
      <c r="F1438" s="3" t="s">
        <v>3875</v>
      </c>
      <c r="G1438" s="2" t="s">
        <v>12</v>
      </c>
      <c r="H1438" s="3" t="s">
        <v>3876</v>
      </c>
      <c r="I1438" s="12" t="s">
        <v>3204</v>
      </c>
    </row>
    <row r="1439" spans="1:9" ht="30" x14ac:dyDescent="0.25">
      <c r="A1439" s="2">
        <v>1436</v>
      </c>
      <c r="B1439" s="3" t="s">
        <v>3873</v>
      </c>
      <c r="C1439" s="3" t="s">
        <v>3877</v>
      </c>
      <c r="D1439" s="3" t="s">
        <v>3877</v>
      </c>
      <c r="E1439" s="2">
        <v>2020</v>
      </c>
      <c r="F1439" s="3" t="s">
        <v>3878</v>
      </c>
      <c r="G1439" s="2" t="s">
        <v>12</v>
      </c>
      <c r="H1439" s="3" t="s">
        <v>3879</v>
      </c>
      <c r="I1439" s="12" t="s">
        <v>3204</v>
      </c>
    </row>
    <row r="1440" spans="1:9" ht="45" x14ac:dyDescent="0.25">
      <c r="A1440" s="2">
        <v>1437</v>
      </c>
      <c r="B1440" s="3" t="s">
        <v>3873</v>
      </c>
      <c r="C1440" s="3" t="s">
        <v>3880</v>
      </c>
      <c r="D1440" s="3" t="s">
        <v>3880</v>
      </c>
      <c r="E1440" s="2">
        <v>2022</v>
      </c>
      <c r="F1440" s="3" t="s">
        <v>3881</v>
      </c>
      <c r="G1440" s="2" t="s">
        <v>12</v>
      </c>
      <c r="H1440" s="3" t="s">
        <v>3882</v>
      </c>
      <c r="I1440" s="15" t="s">
        <v>3204</v>
      </c>
    </row>
    <row r="1441" spans="1:9" ht="30" x14ac:dyDescent="0.25">
      <c r="A1441" s="2">
        <v>1438</v>
      </c>
      <c r="B1441" s="3" t="s">
        <v>3873</v>
      </c>
      <c r="C1441" s="3" t="s">
        <v>3883</v>
      </c>
      <c r="D1441" s="3" t="s">
        <v>3883</v>
      </c>
      <c r="E1441" s="2">
        <v>2023</v>
      </c>
      <c r="F1441" s="3" t="s">
        <v>3884</v>
      </c>
      <c r="G1441" s="2" t="s">
        <v>12</v>
      </c>
      <c r="H1441" s="3" t="s">
        <v>3885</v>
      </c>
      <c r="I1441" s="15" t="s">
        <v>3204</v>
      </c>
    </row>
    <row r="1442" spans="1:9" ht="30" x14ac:dyDescent="0.25">
      <c r="A1442" s="2">
        <v>1439</v>
      </c>
      <c r="B1442" s="3" t="s">
        <v>3886</v>
      </c>
      <c r="C1442" s="3" t="s">
        <v>3887</v>
      </c>
      <c r="D1442" s="3" t="s">
        <v>3887</v>
      </c>
      <c r="E1442" s="2">
        <v>2022</v>
      </c>
      <c r="F1442" s="3" t="s">
        <v>3888</v>
      </c>
      <c r="G1442" s="2" t="s">
        <v>12</v>
      </c>
      <c r="H1442" s="3" t="s">
        <v>3889</v>
      </c>
      <c r="I1442" s="12" t="s">
        <v>3204</v>
      </c>
    </row>
    <row r="1443" spans="1:9" ht="30" x14ac:dyDescent="0.25">
      <c r="A1443" s="2">
        <v>1440</v>
      </c>
      <c r="B1443" s="3" t="s">
        <v>3890</v>
      </c>
      <c r="C1443" s="3" t="s">
        <v>3891</v>
      </c>
      <c r="D1443" s="3" t="s">
        <v>3891</v>
      </c>
      <c r="E1443" s="2">
        <v>2019</v>
      </c>
      <c r="F1443" s="3" t="s">
        <v>3892</v>
      </c>
      <c r="G1443" s="2" t="s">
        <v>12</v>
      </c>
      <c r="H1443" s="3" t="s">
        <v>3893</v>
      </c>
      <c r="I1443" s="15" t="s">
        <v>3204</v>
      </c>
    </row>
    <row r="1444" spans="1:9" ht="30" x14ac:dyDescent="0.25">
      <c r="A1444" s="2">
        <v>1441</v>
      </c>
      <c r="B1444" s="3" t="s">
        <v>3894</v>
      </c>
      <c r="C1444" s="3" t="s">
        <v>3895</v>
      </c>
      <c r="D1444" s="3" t="s">
        <v>3895</v>
      </c>
      <c r="E1444" s="2">
        <v>2021</v>
      </c>
      <c r="F1444" s="3" t="s">
        <v>3896</v>
      </c>
      <c r="G1444" s="2" t="s">
        <v>12</v>
      </c>
      <c r="H1444" s="3" t="s">
        <v>3897</v>
      </c>
      <c r="I1444" s="15" t="s">
        <v>3204</v>
      </c>
    </row>
    <row r="1445" spans="1:9" ht="60" x14ac:dyDescent="0.25">
      <c r="A1445" s="2">
        <v>1442</v>
      </c>
      <c r="B1445" s="3" t="s">
        <v>3898</v>
      </c>
      <c r="C1445" s="3" t="s">
        <v>3899</v>
      </c>
      <c r="D1445" s="3" t="s">
        <v>3899</v>
      </c>
      <c r="E1445" s="2">
        <v>2020</v>
      </c>
      <c r="F1445" s="3" t="s">
        <v>3900</v>
      </c>
      <c r="G1445" s="2" t="s">
        <v>12</v>
      </c>
      <c r="H1445" s="3" t="s">
        <v>3901</v>
      </c>
      <c r="I1445" s="15" t="s">
        <v>3204</v>
      </c>
    </row>
    <row r="1446" spans="1:9" ht="45" x14ac:dyDescent="0.25">
      <c r="A1446" s="2">
        <v>1443</v>
      </c>
      <c r="B1446" s="3" t="s">
        <v>3902</v>
      </c>
      <c r="C1446" s="3" t="s">
        <v>3903</v>
      </c>
      <c r="D1446" s="3" t="s">
        <v>3903</v>
      </c>
      <c r="E1446" s="2">
        <v>2019</v>
      </c>
      <c r="F1446" s="3" t="s">
        <v>3904</v>
      </c>
      <c r="G1446" s="2" t="s">
        <v>12</v>
      </c>
      <c r="H1446" s="3" t="s">
        <v>3905</v>
      </c>
      <c r="I1446" s="12" t="s">
        <v>3204</v>
      </c>
    </row>
    <row r="1447" spans="1:9" ht="45" x14ac:dyDescent="0.25">
      <c r="A1447" s="2">
        <v>1444</v>
      </c>
      <c r="B1447" s="3" t="s">
        <v>3906</v>
      </c>
      <c r="C1447" s="3" t="s">
        <v>3907</v>
      </c>
      <c r="D1447" s="3" t="s">
        <v>3907</v>
      </c>
      <c r="E1447" s="2">
        <v>2019</v>
      </c>
      <c r="F1447" s="3" t="s">
        <v>3908</v>
      </c>
      <c r="G1447" s="2" t="s">
        <v>12</v>
      </c>
      <c r="H1447" s="3" t="s">
        <v>3908</v>
      </c>
      <c r="I1447" s="15" t="s">
        <v>3204</v>
      </c>
    </row>
    <row r="1448" spans="1:9" ht="30" x14ac:dyDescent="0.25">
      <c r="A1448" s="2">
        <v>1445</v>
      </c>
      <c r="B1448" s="3" t="s">
        <v>3906</v>
      </c>
      <c r="C1448" s="3" t="s">
        <v>3909</v>
      </c>
      <c r="D1448" s="3" t="s">
        <v>3909</v>
      </c>
      <c r="E1448" s="2">
        <v>2021</v>
      </c>
      <c r="F1448" s="3" t="s">
        <v>3910</v>
      </c>
      <c r="G1448" s="2" t="s">
        <v>12</v>
      </c>
      <c r="H1448" s="3" t="s">
        <v>3721</v>
      </c>
      <c r="I1448" s="12" t="s">
        <v>3204</v>
      </c>
    </row>
    <row r="1449" spans="1:9" ht="30" x14ac:dyDescent="0.25">
      <c r="A1449" s="2">
        <v>1446</v>
      </c>
      <c r="B1449" s="3" t="s">
        <v>3906</v>
      </c>
      <c r="C1449" s="3" t="s">
        <v>3909</v>
      </c>
      <c r="D1449" s="3" t="s">
        <v>3909</v>
      </c>
      <c r="E1449" s="2">
        <v>2021</v>
      </c>
      <c r="F1449" s="3" t="s">
        <v>3910</v>
      </c>
      <c r="G1449" s="2" t="s">
        <v>12</v>
      </c>
      <c r="H1449" s="3" t="s">
        <v>3721</v>
      </c>
      <c r="I1449" s="12" t="s">
        <v>3204</v>
      </c>
    </row>
    <row r="1450" spans="1:9" ht="30" x14ac:dyDescent="0.25">
      <c r="A1450" s="2">
        <v>1447</v>
      </c>
      <c r="B1450" s="3" t="s">
        <v>3906</v>
      </c>
      <c r="C1450" s="3" t="s">
        <v>3911</v>
      </c>
      <c r="D1450" s="3" t="s">
        <v>3911</v>
      </c>
      <c r="E1450" s="2">
        <v>2021</v>
      </c>
      <c r="F1450" s="3" t="s">
        <v>3912</v>
      </c>
      <c r="G1450" s="2" t="s">
        <v>12</v>
      </c>
      <c r="H1450" s="3" t="s">
        <v>3721</v>
      </c>
      <c r="I1450" s="12" t="s">
        <v>3204</v>
      </c>
    </row>
    <row r="1451" spans="1:9" ht="30" x14ac:dyDescent="0.25">
      <c r="A1451" s="2">
        <v>1448</v>
      </c>
      <c r="B1451" s="3" t="s">
        <v>3913</v>
      </c>
      <c r="C1451" s="3" t="s">
        <v>3914</v>
      </c>
      <c r="D1451" s="3" t="s">
        <v>3914</v>
      </c>
      <c r="E1451" s="2">
        <v>2020</v>
      </c>
      <c r="F1451" s="3" t="s">
        <v>3915</v>
      </c>
      <c r="G1451" s="2" t="s">
        <v>12</v>
      </c>
      <c r="H1451" s="3" t="s">
        <v>3916</v>
      </c>
      <c r="I1451" s="12" t="s">
        <v>3204</v>
      </c>
    </row>
    <row r="1452" spans="1:9" ht="30" x14ac:dyDescent="0.25">
      <c r="A1452" s="2">
        <v>1449</v>
      </c>
      <c r="B1452" s="3" t="s">
        <v>3913</v>
      </c>
      <c r="C1452" s="3" t="s">
        <v>3914</v>
      </c>
      <c r="D1452" s="3" t="s">
        <v>3914</v>
      </c>
      <c r="E1452" s="2">
        <v>2020</v>
      </c>
      <c r="F1452" s="3" t="s">
        <v>3915</v>
      </c>
      <c r="G1452" s="2" t="s">
        <v>12</v>
      </c>
      <c r="H1452" s="3" t="s">
        <v>3916</v>
      </c>
      <c r="I1452" s="12" t="s">
        <v>3204</v>
      </c>
    </row>
    <row r="1453" spans="1:9" ht="30" x14ac:dyDescent="0.25">
      <c r="A1453" s="2">
        <v>1450</v>
      </c>
      <c r="B1453" s="3" t="s">
        <v>3913</v>
      </c>
      <c r="C1453" s="3" t="s">
        <v>3914</v>
      </c>
      <c r="D1453" s="3" t="s">
        <v>3914</v>
      </c>
      <c r="E1453" s="2">
        <v>2020</v>
      </c>
      <c r="F1453" s="3" t="s">
        <v>3915</v>
      </c>
      <c r="G1453" s="2" t="s">
        <v>12</v>
      </c>
      <c r="H1453" s="3" t="s">
        <v>3916</v>
      </c>
      <c r="I1453" s="12" t="s">
        <v>3204</v>
      </c>
    </row>
    <row r="1454" spans="1:9" ht="30" x14ac:dyDescent="0.25">
      <c r="A1454" s="2">
        <v>1451</v>
      </c>
      <c r="B1454" s="3" t="s">
        <v>3913</v>
      </c>
      <c r="C1454" s="3" t="s">
        <v>3917</v>
      </c>
      <c r="D1454" s="3" t="s">
        <v>3917</v>
      </c>
      <c r="E1454" s="2">
        <v>2020</v>
      </c>
      <c r="F1454" s="3" t="s">
        <v>3918</v>
      </c>
      <c r="G1454" s="2" t="s">
        <v>12</v>
      </c>
      <c r="H1454" s="3" t="s">
        <v>3919</v>
      </c>
      <c r="I1454" s="12" t="s">
        <v>3204</v>
      </c>
    </row>
    <row r="1455" spans="1:9" ht="30" x14ac:dyDescent="0.25">
      <c r="A1455" s="2">
        <v>1452</v>
      </c>
      <c r="B1455" s="3" t="s">
        <v>3913</v>
      </c>
      <c r="C1455" s="3" t="s">
        <v>3920</v>
      </c>
      <c r="D1455" s="3" t="s">
        <v>3920</v>
      </c>
      <c r="E1455" s="2">
        <v>2022</v>
      </c>
      <c r="F1455" s="3" t="s">
        <v>3921</v>
      </c>
      <c r="G1455" s="2" t="s">
        <v>12</v>
      </c>
      <c r="H1455" s="3" t="s">
        <v>3922</v>
      </c>
      <c r="I1455" s="12" t="s">
        <v>3204</v>
      </c>
    </row>
    <row r="1456" spans="1:9" ht="30" x14ac:dyDescent="0.25">
      <c r="A1456" s="2">
        <v>1453</v>
      </c>
      <c r="B1456" s="3" t="s">
        <v>3923</v>
      </c>
      <c r="C1456" s="3" t="s">
        <v>3924</v>
      </c>
      <c r="D1456" s="3" t="s">
        <v>3924</v>
      </c>
      <c r="E1456" s="2">
        <v>2020</v>
      </c>
      <c r="F1456" s="3" t="s">
        <v>3925</v>
      </c>
      <c r="G1456" s="2" t="s">
        <v>12</v>
      </c>
      <c r="H1456" s="3" t="s">
        <v>3201</v>
      </c>
      <c r="I1456" s="15" t="s">
        <v>3204</v>
      </c>
    </row>
    <row r="1457" spans="1:9" ht="30" x14ac:dyDescent="0.25">
      <c r="A1457" s="2">
        <v>1454</v>
      </c>
      <c r="B1457" s="3" t="s">
        <v>3926</v>
      </c>
      <c r="C1457" s="3" t="s">
        <v>3927</v>
      </c>
      <c r="D1457" s="3" t="s">
        <v>3927</v>
      </c>
      <c r="E1457" s="2">
        <v>2023</v>
      </c>
      <c r="F1457" s="3" t="s">
        <v>3928</v>
      </c>
      <c r="G1457" s="2" t="s">
        <v>12</v>
      </c>
      <c r="H1457" s="3" t="s">
        <v>3929</v>
      </c>
      <c r="I1457" s="15" t="s">
        <v>3204</v>
      </c>
    </row>
    <row r="1458" spans="1:9" ht="60" x14ac:dyDescent="0.25">
      <c r="A1458" s="2">
        <v>1455</v>
      </c>
      <c r="B1458" s="3" t="s">
        <v>3930</v>
      </c>
      <c r="C1458" s="3" t="s">
        <v>3931</v>
      </c>
      <c r="D1458" s="3" t="s">
        <v>3931</v>
      </c>
      <c r="E1458" s="2">
        <v>2018</v>
      </c>
      <c r="F1458" s="3" t="s">
        <v>3201</v>
      </c>
      <c r="G1458" s="2" t="s">
        <v>12</v>
      </c>
      <c r="H1458" s="3" t="s">
        <v>3932</v>
      </c>
      <c r="I1458" s="12" t="s">
        <v>3204</v>
      </c>
    </row>
    <row r="1459" spans="1:9" ht="30" x14ac:dyDescent="0.25">
      <c r="A1459" s="2">
        <v>1456</v>
      </c>
      <c r="B1459" s="3" t="s">
        <v>3930</v>
      </c>
      <c r="C1459" s="3" t="s">
        <v>3933</v>
      </c>
      <c r="D1459" s="3" t="s">
        <v>3933</v>
      </c>
      <c r="E1459" s="2">
        <v>2023</v>
      </c>
      <c r="F1459" s="3">
        <v>9789393623676</v>
      </c>
      <c r="G1459" s="2" t="s">
        <v>12</v>
      </c>
      <c r="H1459" s="3" t="s">
        <v>3934</v>
      </c>
      <c r="I1459" s="15" t="s">
        <v>3204</v>
      </c>
    </row>
    <row r="1460" spans="1:9" ht="30" x14ac:dyDescent="0.25">
      <c r="A1460" s="2">
        <v>1457</v>
      </c>
      <c r="B1460" s="3" t="s">
        <v>3930</v>
      </c>
      <c r="C1460" s="3" t="s">
        <v>3935</v>
      </c>
      <c r="D1460" s="3" t="s">
        <v>3935</v>
      </c>
      <c r="E1460" s="2">
        <v>2023</v>
      </c>
      <c r="F1460" s="3">
        <v>9789393623672</v>
      </c>
      <c r="G1460" s="2" t="s">
        <v>12</v>
      </c>
      <c r="H1460" s="3" t="s">
        <v>3934</v>
      </c>
      <c r="I1460" s="12" t="s">
        <v>3204</v>
      </c>
    </row>
    <row r="1461" spans="1:9" ht="60" x14ac:dyDescent="0.25">
      <c r="A1461" s="2">
        <v>1458</v>
      </c>
      <c r="B1461" s="3" t="s">
        <v>3936</v>
      </c>
      <c r="C1461" s="3" t="s">
        <v>3937</v>
      </c>
      <c r="D1461" s="3" t="s">
        <v>3937</v>
      </c>
      <c r="E1461" s="2">
        <v>2022</v>
      </c>
      <c r="F1461" s="3" t="s">
        <v>3938</v>
      </c>
      <c r="G1461" s="2" t="s">
        <v>12</v>
      </c>
      <c r="H1461" s="3" t="s">
        <v>3939</v>
      </c>
      <c r="I1461" s="15" t="s">
        <v>3204</v>
      </c>
    </row>
    <row r="1462" spans="1:9" ht="45" x14ac:dyDescent="0.25">
      <c r="A1462" s="2">
        <v>1459</v>
      </c>
      <c r="B1462" s="3" t="s">
        <v>3940</v>
      </c>
      <c r="C1462" s="3" t="s">
        <v>3941</v>
      </c>
      <c r="D1462" s="3" t="s">
        <v>3941</v>
      </c>
      <c r="E1462" s="2">
        <v>2018</v>
      </c>
      <c r="F1462" s="3" t="s">
        <v>3942</v>
      </c>
      <c r="G1462" s="2" t="s">
        <v>12</v>
      </c>
      <c r="H1462" s="3" t="s">
        <v>3943</v>
      </c>
      <c r="I1462" s="15" t="s">
        <v>3204</v>
      </c>
    </row>
    <row r="1463" spans="1:9" ht="45" x14ac:dyDescent="0.25">
      <c r="A1463" s="2">
        <v>1460</v>
      </c>
      <c r="B1463" s="3" t="s">
        <v>3944</v>
      </c>
      <c r="C1463" s="3" t="s">
        <v>3941</v>
      </c>
      <c r="D1463" s="3" t="s">
        <v>3941</v>
      </c>
      <c r="E1463" s="2">
        <v>2018</v>
      </c>
      <c r="F1463" s="3" t="s">
        <v>3945</v>
      </c>
      <c r="G1463" s="2" t="s">
        <v>12</v>
      </c>
      <c r="H1463" s="3" t="s">
        <v>3943</v>
      </c>
      <c r="I1463" s="15" t="s">
        <v>3204</v>
      </c>
    </row>
    <row r="1464" spans="1:9" ht="75" x14ac:dyDescent="0.25">
      <c r="A1464" s="2">
        <v>1461</v>
      </c>
      <c r="B1464" s="3" t="s">
        <v>3944</v>
      </c>
      <c r="C1464" s="3" t="s">
        <v>3946</v>
      </c>
      <c r="D1464" s="3" t="s">
        <v>3946</v>
      </c>
      <c r="E1464" s="2">
        <v>2018</v>
      </c>
      <c r="F1464" s="3" t="s">
        <v>3947</v>
      </c>
      <c r="G1464" s="2" t="s">
        <v>12</v>
      </c>
      <c r="H1464" s="3" t="s">
        <v>3948</v>
      </c>
      <c r="I1464" s="15" t="s">
        <v>3204</v>
      </c>
    </row>
    <row r="1465" spans="1:9" ht="75" x14ac:dyDescent="0.25">
      <c r="A1465" s="2">
        <v>1462</v>
      </c>
      <c r="B1465" s="3" t="s">
        <v>3940</v>
      </c>
      <c r="C1465" s="3" t="s">
        <v>3946</v>
      </c>
      <c r="D1465" s="3" t="s">
        <v>3946</v>
      </c>
      <c r="E1465" s="2">
        <v>2018</v>
      </c>
      <c r="F1465" s="3" t="s">
        <v>3949</v>
      </c>
      <c r="G1465" s="2" t="s">
        <v>12</v>
      </c>
      <c r="H1465" s="3" t="s">
        <v>3948</v>
      </c>
      <c r="I1465" s="15" t="s">
        <v>3204</v>
      </c>
    </row>
    <row r="1466" spans="1:9" ht="75" x14ac:dyDescent="0.25">
      <c r="A1466" s="2">
        <v>1463</v>
      </c>
      <c r="B1466" s="3" t="s">
        <v>3944</v>
      </c>
      <c r="C1466" s="3" t="s">
        <v>3950</v>
      </c>
      <c r="D1466" s="3" t="s">
        <v>3950</v>
      </c>
      <c r="E1466" s="2">
        <v>2018</v>
      </c>
      <c r="F1466" s="3" t="s">
        <v>3947</v>
      </c>
      <c r="G1466" s="2" t="s">
        <v>12</v>
      </c>
      <c r="H1466" s="3" t="s">
        <v>3948</v>
      </c>
      <c r="I1466" s="12" t="s">
        <v>3204</v>
      </c>
    </row>
    <row r="1467" spans="1:9" ht="75" x14ac:dyDescent="0.25">
      <c r="A1467" s="2">
        <v>1464</v>
      </c>
      <c r="B1467" s="3" t="s">
        <v>3944</v>
      </c>
      <c r="C1467" s="3" t="s">
        <v>3951</v>
      </c>
      <c r="D1467" s="3" t="s">
        <v>3951</v>
      </c>
      <c r="E1467" s="2">
        <v>2018</v>
      </c>
      <c r="F1467" s="3" t="s">
        <v>3952</v>
      </c>
      <c r="G1467" s="2" t="s">
        <v>12</v>
      </c>
      <c r="H1467" s="3" t="s">
        <v>3948</v>
      </c>
      <c r="I1467" s="12" t="s">
        <v>3204</v>
      </c>
    </row>
    <row r="1468" spans="1:9" ht="60" x14ac:dyDescent="0.25">
      <c r="A1468" s="2">
        <v>1465</v>
      </c>
      <c r="B1468" s="3" t="s">
        <v>3944</v>
      </c>
      <c r="C1468" s="3" t="s">
        <v>3953</v>
      </c>
      <c r="D1468" s="3" t="s">
        <v>3953</v>
      </c>
      <c r="E1468" s="2">
        <v>2018</v>
      </c>
      <c r="F1468" s="3" t="s">
        <v>3949</v>
      </c>
      <c r="G1468" s="2" t="s">
        <v>12</v>
      </c>
      <c r="H1468" s="3" t="s">
        <v>3948</v>
      </c>
      <c r="I1468" s="12" t="s">
        <v>3204</v>
      </c>
    </row>
    <row r="1469" spans="1:9" ht="45" x14ac:dyDescent="0.25">
      <c r="A1469" s="2">
        <v>1466</v>
      </c>
      <c r="B1469" s="3" t="s">
        <v>3940</v>
      </c>
      <c r="C1469" s="3" t="s">
        <v>3941</v>
      </c>
      <c r="D1469" s="3" t="s">
        <v>3941</v>
      </c>
      <c r="E1469" s="2">
        <v>2020</v>
      </c>
      <c r="F1469" s="3" t="s">
        <v>3954</v>
      </c>
      <c r="G1469" s="2" t="s">
        <v>12</v>
      </c>
      <c r="H1469" s="3" t="s">
        <v>3955</v>
      </c>
      <c r="I1469" s="15" t="s">
        <v>3204</v>
      </c>
    </row>
    <row r="1470" spans="1:9" ht="60" x14ac:dyDescent="0.25">
      <c r="A1470" s="2">
        <v>1467</v>
      </c>
      <c r="B1470" s="3" t="s">
        <v>3940</v>
      </c>
      <c r="C1470" s="3" t="s">
        <v>3956</v>
      </c>
      <c r="D1470" s="3" t="s">
        <v>3956</v>
      </c>
      <c r="E1470" s="2">
        <v>2021</v>
      </c>
      <c r="F1470" s="3" t="s">
        <v>3957</v>
      </c>
      <c r="G1470" s="2" t="s">
        <v>12</v>
      </c>
      <c r="H1470" s="3" t="s">
        <v>3943</v>
      </c>
      <c r="I1470" s="15" t="s">
        <v>3204</v>
      </c>
    </row>
    <row r="1471" spans="1:9" ht="45" x14ac:dyDescent="0.25">
      <c r="A1471" s="2">
        <v>1468</v>
      </c>
      <c r="B1471" s="3" t="s">
        <v>3940</v>
      </c>
      <c r="C1471" s="3" t="s">
        <v>3958</v>
      </c>
      <c r="D1471" s="3" t="s">
        <v>3958</v>
      </c>
      <c r="E1471" s="2">
        <v>2021</v>
      </c>
      <c r="F1471" s="3" t="s">
        <v>3959</v>
      </c>
      <c r="G1471" s="2" t="s">
        <v>12</v>
      </c>
      <c r="H1471" s="3" t="s">
        <v>3955</v>
      </c>
      <c r="I1471" s="12" t="s">
        <v>3204</v>
      </c>
    </row>
    <row r="1472" spans="1:9" ht="30" x14ac:dyDescent="0.25">
      <c r="A1472" s="2">
        <v>1469</v>
      </c>
      <c r="B1472" s="3" t="s">
        <v>3940</v>
      </c>
      <c r="C1472" s="3" t="s">
        <v>3960</v>
      </c>
      <c r="D1472" s="3" t="s">
        <v>3960</v>
      </c>
      <c r="E1472" s="2">
        <v>2023</v>
      </c>
      <c r="F1472" s="3" t="s">
        <v>3961</v>
      </c>
      <c r="G1472" s="2" t="s">
        <v>12</v>
      </c>
      <c r="H1472" s="3" t="s">
        <v>3962</v>
      </c>
      <c r="I1472" s="15" t="s">
        <v>3204</v>
      </c>
    </row>
    <row r="1473" spans="1:9" ht="30" x14ac:dyDescent="0.25">
      <c r="A1473" s="2">
        <v>1470</v>
      </c>
      <c r="B1473" s="3" t="s">
        <v>3963</v>
      </c>
      <c r="C1473" s="3" t="s">
        <v>3964</v>
      </c>
      <c r="D1473" s="3" t="s">
        <v>3964</v>
      </c>
      <c r="E1473" s="2">
        <v>2018</v>
      </c>
      <c r="F1473" s="3" t="s">
        <v>3965</v>
      </c>
      <c r="G1473" s="2" t="s">
        <v>12</v>
      </c>
      <c r="H1473" s="3" t="s">
        <v>3966</v>
      </c>
      <c r="I1473" s="12" t="s">
        <v>3204</v>
      </c>
    </row>
    <row r="1474" spans="1:9" ht="30" x14ac:dyDescent="0.25">
      <c r="A1474" s="2">
        <v>1471</v>
      </c>
      <c r="B1474" s="3" t="s">
        <v>3963</v>
      </c>
      <c r="C1474" s="3" t="s">
        <v>3967</v>
      </c>
      <c r="D1474" s="3" t="s">
        <v>3967</v>
      </c>
      <c r="E1474" s="2">
        <v>2018</v>
      </c>
      <c r="F1474" s="3">
        <v>7989384803698</v>
      </c>
      <c r="G1474" s="2" t="s">
        <v>12</v>
      </c>
      <c r="H1474" s="3" t="s">
        <v>3968</v>
      </c>
      <c r="I1474" s="12" t="s">
        <v>3204</v>
      </c>
    </row>
    <row r="1475" spans="1:9" ht="45" x14ac:dyDescent="0.25">
      <c r="A1475" s="2">
        <v>1472</v>
      </c>
      <c r="B1475" s="3" t="s">
        <v>3969</v>
      </c>
      <c r="C1475" s="3" t="s">
        <v>3970</v>
      </c>
      <c r="D1475" s="3" t="s">
        <v>3970</v>
      </c>
      <c r="E1475" s="2">
        <v>2022</v>
      </c>
      <c r="F1475" s="3">
        <v>9785353496362</v>
      </c>
      <c r="G1475" s="2" t="s">
        <v>12</v>
      </c>
      <c r="H1475" s="3" t="s">
        <v>3971</v>
      </c>
      <c r="I1475" s="12" t="s">
        <v>3204</v>
      </c>
    </row>
    <row r="1476" spans="1:9" ht="45" x14ac:dyDescent="0.25">
      <c r="A1476" s="2">
        <v>1473</v>
      </c>
      <c r="B1476" s="3" t="s">
        <v>3573</v>
      </c>
      <c r="C1476" s="3" t="s">
        <v>3972</v>
      </c>
      <c r="D1476" s="3" t="s">
        <v>3972</v>
      </c>
      <c r="E1476" s="2">
        <v>2018</v>
      </c>
      <c r="F1476" s="3" t="s">
        <v>3973</v>
      </c>
      <c r="G1476" s="2" t="s">
        <v>12</v>
      </c>
      <c r="H1476" s="3" t="s">
        <v>3974</v>
      </c>
      <c r="I1476" s="12" t="s">
        <v>3204</v>
      </c>
    </row>
    <row r="1477" spans="1:9" ht="45" x14ac:dyDescent="0.25">
      <c r="A1477" s="2">
        <v>1474</v>
      </c>
      <c r="B1477" s="3" t="s">
        <v>3573</v>
      </c>
      <c r="C1477" s="3" t="s">
        <v>3975</v>
      </c>
      <c r="D1477" s="3" t="s">
        <v>3975</v>
      </c>
      <c r="E1477" s="2">
        <v>2018</v>
      </c>
      <c r="F1477" s="3" t="s">
        <v>3976</v>
      </c>
      <c r="G1477" s="2" t="s">
        <v>12</v>
      </c>
      <c r="H1477" s="3" t="s">
        <v>3974</v>
      </c>
      <c r="I1477" s="16" t="s">
        <v>3977</v>
      </c>
    </row>
    <row r="1478" spans="1:9" ht="45" x14ac:dyDescent="0.25">
      <c r="A1478" s="2">
        <v>1475</v>
      </c>
      <c r="B1478" s="3" t="s">
        <v>3578</v>
      </c>
      <c r="C1478" s="3" t="s">
        <v>3978</v>
      </c>
      <c r="D1478" s="3" t="s">
        <v>3978</v>
      </c>
      <c r="E1478" s="2">
        <v>2018</v>
      </c>
      <c r="F1478" s="3" t="s">
        <v>3979</v>
      </c>
      <c r="G1478" s="2" t="s">
        <v>12</v>
      </c>
      <c r="H1478" s="3" t="s">
        <v>3980</v>
      </c>
      <c r="I1478" s="12" t="s">
        <v>3204</v>
      </c>
    </row>
    <row r="1479" spans="1:9" ht="45" x14ac:dyDescent="0.25">
      <c r="A1479" s="2">
        <v>1476</v>
      </c>
      <c r="B1479" s="3" t="s">
        <v>3578</v>
      </c>
      <c r="C1479" s="3" t="s">
        <v>3981</v>
      </c>
      <c r="D1479" s="3" t="s">
        <v>3981</v>
      </c>
      <c r="E1479" s="2">
        <v>2018</v>
      </c>
      <c r="F1479" s="3" t="s">
        <v>3982</v>
      </c>
      <c r="G1479" s="2" t="s">
        <v>12</v>
      </c>
      <c r="H1479" s="3" t="s">
        <v>3974</v>
      </c>
      <c r="I1479" s="12" t="s">
        <v>3204</v>
      </c>
    </row>
    <row r="1480" spans="1:9" ht="45" x14ac:dyDescent="0.25">
      <c r="A1480" s="2">
        <v>1477</v>
      </c>
      <c r="B1480" s="3" t="s">
        <v>3578</v>
      </c>
      <c r="C1480" s="3" t="s">
        <v>3983</v>
      </c>
      <c r="D1480" s="3" t="s">
        <v>3983</v>
      </c>
      <c r="E1480" s="2">
        <v>2018</v>
      </c>
      <c r="F1480" s="3" t="s">
        <v>3984</v>
      </c>
      <c r="G1480" s="2" t="s">
        <v>12</v>
      </c>
      <c r="H1480" s="3" t="s">
        <v>3974</v>
      </c>
      <c r="I1480" s="12" t="s">
        <v>3204</v>
      </c>
    </row>
    <row r="1481" spans="1:9" ht="30" x14ac:dyDescent="0.25">
      <c r="A1481" s="2">
        <v>1478</v>
      </c>
      <c r="B1481" s="3" t="s">
        <v>3985</v>
      </c>
      <c r="C1481" s="3" t="s">
        <v>3986</v>
      </c>
      <c r="D1481" s="3" t="s">
        <v>3986</v>
      </c>
      <c r="E1481" s="2">
        <v>2018</v>
      </c>
      <c r="F1481" s="3" t="s">
        <v>3987</v>
      </c>
      <c r="G1481" s="2" t="s">
        <v>12</v>
      </c>
      <c r="H1481" s="3" t="s">
        <v>3988</v>
      </c>
      <c r="I1481" s="12" t="s">
        <v>3204</v>
      </c>
    </row>
    <row r="1482" spans="1:9" ht="45" x14ac:dyDescent="0.25">
      <c r="A1482" s="2">
        <v>1479</v>
      </c>
      <c r="B1482" s="3" t="s">
        <v>3737</v>
      </c>
      <c r="C1482" s="3" t="s">
        <v>3989</v>
      </c>
      <c r="D1482" s="3" t="s">
        <v>3989</v>
      </c>
      <c r="E1482" s="2">
        <v>2018</v>
      </c>
      <c r="F1482" s="3" t="s">
        <v>3990</v>
      </c>
      <c r="G1482" s="2" t="s">
        <v>12</v>
      </c>
      <c r="H1482" s="3" t="s">
        <v>3991</v>
      </c>
      <c r="I1482" s="12" t="s">
        <v>3204</v>
      </c>
    </row>
    <row r="1483" spans="1:9" ht="60" x14ac:dyDescent="0.25">
      <c r="A1483" s="2">
        <v>1480</v>
      </c>
      <c r="B1483" s="3" t="s">
        <v>3741</v>
      </c>
      <c r="C1483" s="3" t="s">
        <v>3742</v>
      </c>
      <c r="D1483" s="3" t="s">
        <v>3742</v>
      </c>
      <c r="E1483" s="2">
        <v>2018</v>
      </c>
      <c r="F1483" s="3" t="s">
        <v>3992</v>
      </c>
      <c r="G1483" s="2" t="s">
        <v>12</v>
      </c>
      <c r="H1483" s="3" t="s">
        <v>3993</v>
      </c>
      <c r="I1483" s="16" t="s">
        <v>3994</v>
      </c>
    </row>
    <row r="1484" spans="1:9" ht="60" x14ac:dyDescent="0.25">
      <c r="A1484" s="2">
        <v>1481</v>
      </c>
      <c r="B1484" s="3" t="s">
        <v>3741</v>
      </c>
      <c r="C1484" s="3" t="s">
        <v>3742</v>
      </c>
      <c r="D1484" s="3" t="s">
        <v>3742</v>
      </c>
      <c r="E1484" s="2">
        <v>2018</v>
      </c>
      <c r="F1484" s="3" t="s">
        <v>3992</v>
      </c>
      <c r="G1484" s="2" t="s">
        <v>12</v>
      </c>
      <c r="H1484" s="3" t="s">
        <v>3995</v>
      </c>
      <c r="I1484" s="16" t="s">
        <v>3994</v>
      </c>
    </row>
    <row r="1485" spans="1:9" ht="60" x14ac:dyDescent="0.25">
      <c r="A1485" s="2">
        <v>1482</v>
      </c>
      <c r="B1485" s="3" t="s">
        <v>3741</v>
      </c>
      <c r="C1485" s="3" t="s">
        <v>3742</v>
      </c>
      <c r="D1485" s="3" t="s">
        <v>3742</v>
      </c>
      <c r="E1485" s="2">
        <v>2018</v>
      </c>
      <c r="F1485" s="3" t="s">
        <v>3992</v>
      </c>
      <c r="G1485" s="2" t="s">
        <v>12</v>
      </c>
      <c r="H1485" s="3" t="s">
        <v>3995</v>
      </c>
      <c r="I1485" s="16" t="s">
        <v>3994</v>
      </c>
    </row>
    <row r="1486" spans="1:9" ht="60" x14ac:dyDescent="0.25">
      <c r="A1486" s="2">
        <v>1483</v>
      </c>
      <c r="B1486" s="3" t="s">
        <v>3741</v>
      </c>
      <c r="C1486" s="3" t="s">
        <v>3742</v>
      </c>
      <c r="D1486" s="3" t="s">
        <v>3742</v>
      </c>
      <c r="E1486" s="2">
        <v>2018</v>
      </c>
      <c r="F1486" s="3" t="s">
        <v>3992</v>
      </c>
      <c r="G1486" s="2" t="s">
        <v>12</v>
      </c>
      <c r="H1486" s="3" t="s">
        <v>3995</v>
      </c>
      <c r="I1486" s="16" t="s">
        <v>3994</v>
      </c>
    </row>
    <row r="1487" spans="1:9" ht="30" x14ac:dyDescent="0.25">
      <c r="A1487" s="2">
        <v>1484</v>
      </c>
      <c r="B1487" s="3" t="s">
        <v>3996</v>
      </c>
      <c r="C1487" s="3" t="s">
        <v>3997</v>
      </c>
      <c r="D1487" s="3" t="s">
        <v>3997</v>
      </c>
      <c r="E1487" s="2">
        <v>2018</v>
      </c>
      <c r="F1487" s="3" t="s">
        <v>3998</v>
      </c>
      <c r="G1487" s="2" t="s">
        <v>12</v>
      </c>
      <c r="H1487" s="3" t="s">
        <v>3999</v>
      </c>
      <c r="I1487" s="12" t="s">
        <v>3204</v>
      </c>
    </row>
    <row r="1488" spans="1:9" ht="30" x14ac:dyDescent="0.25">
      <c r="A1488" s="2">
        <v>1485</v>
      </c>
      <c r="B1488" s="3" t="s">
        <v>3797</v>
      </c>
      <c r="C1488" s="3" t="s">
        <v>4000</v>
      </c>
      <c r="D1488" s="3" t="s">
        <v>4000</v>
      </c>
      <c r="E1488" s="2">
        <v>2018</v>
      </c>
      <c r="F1488" s="3" t="s">
        <v>4001</v>
      </c>
      <c r="G1488" s="2" t="s">
        <v>12</v>
      </c>
      <c r="H1488" s="3" t="s">
        <v>4002</v>
      </c>
      <c r="I1488" s="12" t="s">
        <v>3204</v>
      </c>
    </row>
    <row r="1489" spans="1:9" ht="30" x14ac:dyDescent="0.25">
      <c r="A1489" s="2">
        <v>1486</v>
      </c>
      <c r="B1489" s="3" t="s">
        <v>4003</v>
      </c>
      <c r="C1489" s="3" t="s">
        <v>4004</v>
      </c>
      <c r="D1489" s="3" t="s">
        <v>4004</v>
      </c>
      <c r="E1489" s="2">
        <v>2018</v>
      </c>
      <c r="F1489" s="3" t="s">
        <v>4005</v>
      </c>
      <c r="G1489" s="2" t="s">
        <v>12</v>
      </c>
      <c r="H1489" s="3" t="s">
        <v>4006</v>
      </c>
      <c r="I1489" s="12" t="s">
        <v>3204</v>
      </c>
    </row>
    <row r="1490" spans="1:9" ht="30" x14ac:dyDescent="0.25">
      <c r="A1490" s="2">
        <v>1487</v>
      </c>
      <c r="B1490" s="3" t="s">
        <v>4003</v>
      </c>
      <c r="C1490" s="3" t="s">
        <v>4007</v>
      </c>
      <c r="D1490" s="3" t="s">
        <v>4007</v>
      </c>
      <c r="E1490" s="2">
        <v>2018</v>
      </c>
      <c r="F1490" s="3" t="s">
        <v>4005</v>
      </c>
      <c r="G1490" s="2" t="s">
        <v>12</v>
      </c>
      <c r="H1490" s="3" t="s">
        <v>4006</v>
      </c>
      <c r="I1490" s="12" t="s">
        <v>3204</v>
      </c>
    </row>
    <row r="1491" spans="1:9" ht="30" x14ac:dyDescent="0.25">
      <c r="A1491" s="2">
        <v>1488</v>
      </c>
      <c r="B1491" s="3" t="s">
        <v>4003</v>
      </c>
      <c r="C1491" s="3" t="s">
        <v>4008</v>
      </c>
      <c r="D1491" s="3" t="s">
        <v>4008</v>
      </c>
      <c r="E1491" s="2">
        <v>2018</v>
      </c>
      <c r="F1491" s="3" t="s">
        <v>4005</v>
      </c>
      <c r="G1491" s="2" t="s">
        <v>12</v>
      </c>
      <c r="H1491" s="3" t="s">
        <v>4006</v>
      </c>
      <c r="I1491" s="12" t="s">
        <v>3204</v>
      </c>
    </row>
    <row r="1492" spans="1:9" ht="60" x14ac:dyDescent="0.25">
      <c r="A1492" s="2">
        <v>1489</v>
      </c>
      <c r="B1492" s="3" t="s">
        <v>4009</v>
      </c>
      <c r="C1492" s="3" t="s">
        <v>4010</v>
      </c>
      <c r="D1492" s="3" t="s">
        <v>4010</v>
      </c>
      <c r="E1492" s="2">
        <v>2018</v>
      </c>
      <c r="F1492" s="3" t="s">
        <v>4011</v>
      </c>
      <c r="G1492" s="2" t="s">
        <v>12</v>
      </c>
      <c r="H1492" s="3" t="s">
        <v>4012</v>
      </c>
      <c r="I1492" s="12" t="s">
        <v>4013</v>
      </c>
    </row>
    <row r="1493" spans="1:9" ht="75" x14ac:dyDescent="0.25">
      <c r="A1493" s="2">
        <v>1490</v>
      </c>
      <c r="B1493" s="3" t="s">
        <v>3573</v>
      </c>
      <c r="C1493" s="3" t="s">
        <v>4014</v>
      </c>
      <c r="D1493" s="3" t="s">
        <v>4014</v>
      </c>
      <c r="E1493" s="2">
        <v>2018</v>
      </c>
      <c r="F1493" s="3" t="s">
        <v>3973</v>
      </c>
      <c r="G1493" s="2" t="s">
        <v>12</v>
      </c>
      <c r="H1493" s="3" t="s">
        <v>3974</v>
      </c>
      <c r="I1493" s="12" t="s">
        <v>3204</v>
      </c>
    </row>
    <row r="1494" spans="1:9" ht="60" x14ac:dyDescent="0.25">
      <c r="A1494" s="2">
        <v>1491</v>
      </c>
      <c r="B1494" s="3" t="s">
        <v>3573</v>
      </c>
      <c r="C1494" s="3" t="s">
        <v>4015</v>
      </c>
      <c r="D1494" s="3" t="s">
        <v>4015</v>
      </c>
      <c r="E1494" s="2">
        <v>2018</v>
      </c>
      <c r="F1494" s="3" t="s">
        <v>3976</v>
      </c>
      <c r="G1494" s="2" t="s">
        <v>12</v>
      </c>
      <c r="H1494" s="3" t="s">
        <v>3974</v>
      </c>
      <c r="I1494" s="17" t="s">
        <v>3976</v>
      </c>
    </row>
    <row r="1495" spans="1:9" ht="30" x14ac:dyDescent="0.25">
      <c r="A1495" s="2">
        <v>1492</v>
      </c>
      <c r="B1495" s="3" t="s">
        <v>3578</v>
      </c>
      <c r="C1495" s="3" t="s">
        <v>4016</v>
      </c>
      <c r="D1495" s="3" t="s">
        <v>4016</v>
      </c>
      <c r="E1495" s="2">
        <v>2018</v>
      </c>
      <c r="F1495" s="3" t="s">
        <v>3979</v>
      </c>
      <c r="G1495" s="2" t="s">
        <v>12</v>
      </c>
      <c r="H1495" s="3" t="s">
        <v>3980</v>
      </c>
      <c r="I1495" s="12" t="s">
        <v>3204</v>
      </c>
    </row>
    <row r="1496" spans="1:9" ht="45" x14ac:dyDescent="0.25">
      <c r="A1496" s="2">
        <v>1493</v>
      </c>
      <c r="B1496" s="3" t="s">
        <v>3578</v>
      </c>
      <c r="C1496" s="3" t="s">
        <v>4017</v>
      </c>
      <c r="D1496" s="3" t="s">
        <v>4017</v>
      </c>
      <c r="E1496" s="2">
        <v>2018</v>
      </c>
      <c r="F1496" s="3" t="s">
        <v>3982</v>
      </c>
      <c r="G1496" s="2" t="s">
        <v>12</v>
      </c>
      <c r="H1496" s="3" t="s">
        <v>3974</v>
      </c>
      <c r="I1496" s="16" t="s">
        <v>3982</v>
      </c>
    </row>
    <row r="1497" spans="1:9" ht="60" x14ac:dyDescent="0.25">
      <c r="A1497" s="2">
        <v>1494</v>
      </c>
      <c r="B1497" s="3" t="s">
        <v>3578</v>
      </c>
      <c r="C1497" s="3" t="s">
        <v>4018</v>
      </c>
      <c r="D1497" s="3" t="s">
        <v>4018</v>
      </c>
      <c r="E1497" s="2">
        <v>2018</v>
      </c>
      <c r="F1497" s="3" t="s">
        <v>3984</v>
      </c>
      <c r="G1497" s="2" t="s">
        <v>12</v>
      </c>
      <c r="H1497" s="3" t="s">
        <v>3974</v>
      </c>
      <c r="I1497" s="17" t="s">
        <v>3984</v>
      </c>
    </row>
    <row r="1498" spans="1:9" ht="30" x14ac:dyDescent="0.25">
      <c r="A1498" s="2">
        <v>1495</v>
      </c>
      <c r="B1498" s="3" t="s">
        <v>3985</v>
      </c>
      <c r="C1498" s="3" t="s">
        <v>3986</v>
      </c>
      <c r="D1498" s="3" t="s">
        <v>3986</v>
      </c>
      <c r="E1498" s="2">
        <v>2018</v>
      </c>
      <c r="F1498" s="3" t="s">
        <v>3987</v>
      </c>
      <c r="G1498" s="2" t="s">
        <v>12</v>
      </c>
      <c r="H1498" s="3" t="s">
        <v>3988</v>
      </c>
      <c r="I1498" s="12" t="s">
        <v>3204</v>
      </c>
    </row>
    <row r="1499" spans="1:9" ht="60" x14ac:dyDescent="0.25">
      <c r="A1499" s="2">
        <v>1496</v>
      </c>
      <c r="B1499" s="3" t="s">
        <v>4019</v>
      </c>
      <c r="C1499" s="3" t="s">
        <v>4020</v>
      </c>
      <c r="D1499" s="3" t="s">
        <v>4020</v>
      </c>
      <c r="E1499" s="2">
        <v>2018</v>
      </c>
      <c r="F1499" s="3" t="s">
        <v>4021</v>
      </c>
      <c r="G1499" s="2" t="s">
        <v>12</v>
      </c>
      <c r="H1499" s="3" t="s">
        <v>4022</v>
      </c>
      <c r="I1499" s="12" t="s">
        <v>3204</v>
      </c>
    </row>
    <row r="1500" spans="1:9" ht="75" x14ac:dyDescent="0.25">
      <c r="A1500" s="2">
        <v>1497</v>
      </c>
      <c r="B1500" s="3" t="s">
        <v>4019</v>
      </c>
      <c r="C1500" s="3" t="s">
        <v>4023</v>
      </c>
      <c r="D1500" s="3" t="s">
        <v>4023</v>
      </c>
      <c r="E1500" s="2">
        <v>2018</v>
      </c>
      <c r="F1500" s="3" t="s">
        <v>4024</v>
      </c>
      <c r="G1500" s="2" t="s">
        <v>12</v>
      </c>
      <c r="H1500" s="3" t="s">
        <v>4022</v>
      </c>
      <c r="I1500" s="12" t="s">
        <v>3204</v>
      </c>
    </row>
    <row r="1501" spans="1:9" ht="60" x14ac:dyDescent="0.25">
      <c r="A1501" s="2">
        <v>1498</v>
      </c>
      <c r="B1501" s="3" t="s">
        <v>3341</v>
      </c>
      <c r="C1501" s="3" t="s">
        <v>4025</v>
      </c>
      <c r="D1501" s="3" t="s">
        <v>4025</v>
      </c>
      <c r="E1501" s="2">
        <v>2018</v>
      </c>
      <c r="F1501" s="3" t="s">
        <v>4026</v>
      </c>
      <c r="G1501" s="2" t="s">
        <v>12</v>
      </c>
      <c r="H1501" s="3" t="s">
        <v>4027</v>
      </c>
      <c r="I1501" s="12" t="s">
        <v>3204</v>
      </c>
    </row>
    <row r="1502" spans="1:9" ht="75" x14ac:dyDescent="0.25">
      <c r="A1502" s="2">
        <v>1499</v>
      </c>
      <c r="B1502" s="3" t="s">
        <v>4028</v>
      </c>
      <c r="C1502" s="3" t="s">
        <v>4029</v>
      </c>
      <c r="D1502" s="3" t="s">
        <v>4029</v>
      </c>
      <c r="E1502" s="2">
        <v>2018</v>
      </c>
      <c r="F1502" s="3">
        <v>0</v>
      </c>
      <c r="G1502" s="2" t="s">
        <v>12</v>
      </c>
      <c r="H1502" s="3" t="s">
        <v>4030</v>
      </c>
      <c r="I1502" s="12" t="s">
        <v>3204</v>
      </c>
    </row>
    <row r="1503" spans="1:9" ht="60" x14ac:dyDescent="0.25">
      <c r="A1503" s="2">
        <v>1500</v>
      </c>
      <c r="B1503" s="3" t="s">
        <v>4028</v>
      </c>
      <c r="C1503" s="3" t="s">
        <v>4031</v>
      </c>
      <c r="D1503" s="3" t="s">
        <v>4031</v>
      </c>
      <c r="E1503" s="2">
        <v>2018</v>
      </c>
      <c r="F1503" s="3">
        <v>0</v>
      </c>
      <c r="G1503" s="2" t="s">
        <v>12</v>
      </c>
      <c r="H1503" s="3" t="s">
        <v>4030</v>
      </c>
      <c r="I1503" s="12" t="s">
        <v>3204</v>
      </c>
    </row>
    <row r="1504" spans="1:9" ht="60" x14ac:dyDescent="0.25">
      <c r="A1504" s="2">
        <v>1501</v>
      </c>
      <c r="B1504" s="3" t="s">
        <v>4032</v>
      </c>
      <c r="C1504" s="3" t="s">
        <v>4033</v>
      </c>
      <c r="D1504" s="3" t="s">
        <v>4033</v>
      </c>
      <c r="E1504" s="2">
        <v>2018</v>
      </c>
      <c r="F1504" s="3" t="s">
        <v>4034</v>
      </c>
      <c r="G1504" s="2" t="s">
        <v>12</v>
      </c>
      <c r="H1504" s="3" t="s">
        <v>4035</v>
      </c>
      <c r="I1504" s="12" t="s">
        <v>3204</v>
      </c>
    </row>
    <row r="1505" spans="1:9" ht="60" x14ac:dyDescent="0.25">
      <c r="A1505" s="2">
        <v>1502</v>
      </c>
      <c r="B1505" s="3" t="s">
        <v>3461</v>
      </c>
      <c r="C1505" s="3" t="s">
        <v>4036</v>
      </c>
      <c r="D1505" s="3" t="s">
        <v>4036</v>
      </c>
      <c r="E1505" s="2">
        <v>2018</v>
      </c>
      <c r="F1505" s="3" t="s">
        <v>4037</v>
      </c>
      <c r="G1505" s="2" t="s">
        <v>12</v>
      </c>
      <c r="H1505" s="3" t="s">
        <v>4038</v>
      </c>
      <c r="I1505" s="12" t="s">
        <v>3204</v>
      </c>
    </row>
    <row r="1506" spans="1:9" ht="60" x14ac:dyDescent="0.25">
      <c r="A1506" s="2">
        <v>1503</v>
      </c>
      <c r="B1506" s="3" t="s">
        <v>3461</v>
      </c>
      <c r="C1506" s="3" t="s">
        <v>4039</v>
      </c>
      <c r="D1506" s="3" t="s">
        <v>4039</v>
      </c>
      <c r="E1506" s="2">
        <v>2018</v>
      </c>
      <c r="F1506" s="3" t="s">
        <v>4037</v>
      </c>
      <c r="G1506" s="2" t="s">
        <v>12</v>
      </c>
      <c r="H1506" s="3" t="s">
        <v>4038</v>
      </c>
      <c r="I1506" s="12" t="s">
        <v>3204</v>
      </c>
    </row>
    <row r="1507" spans="1:9" ht="60" x14ac:dyDescent="0.25">
      <c r="A1507" s="2">
        <v>1504</v>
      </c>
      <c r="B1507" s="3" t="s">
        <v>3461</v>
      </c>
      <c r="C1507" s="3" t="s">
        <v>4040</v>
      </c>
      <c r="D1507" s="3" t="s">
        <v>4040</v>
      </c>
      <c r="E1507" s="2">
        <v>2018</v>
      </c>
      <c r="F1507" s="3" t="s">
        <v>4041</v>
      </c>
      <c r="G1507" s="2" t="s">
        <v>12</v>
      </c>
      <c r="H1507" s="3" t="s">
        <v>4042</v>
      </c>
      <c r="I1507" s="12" t="s">
        <v>3204</v>
      </c>
    </row>
    <row r="1508" spans="1:9" ht="60" x14ac:dyDescent="0.25">
      <c r="A1508" s="2">
        <v>1505</v>
      </c>
      <c r="B1508" s="3" t="s">
        <v>3461</v>
      </c>
      <c r="C1508" s="3" t="s">
        <v>4043</v>
      </c>
      <c r="D1508" s="3" t="s">
        <v>4043</v>
      </c>
      <c r="E1508" s="2">
        <v>2018</v>
      </c>
      <c r="F1508" s="3" t="s">
        <v>4041</v>
      </c>
      <c r="G1508" s="2" t="s">
        <v>12</v>
      </c>
      <c r="H1508" s="3" t="s">
        <v>4042</v>
      </c>
      <c r="I1508" s="12" t="s">
        <v>3204</v>
      </c>
    </row>
    <row r="1509" spans="1:9" ht="30" x14ac:dyDescent="0.25">
      <c r="A1509" s="2">
        <v>1506</v>
      </c>
      <c r="B1509" s="3" t="s">
        <v>3457</v>
      </c>
      <c r="C1509" s="3" t="s">
        <v>4044</v>
      </c>
      <c r="D1509" s="3" t="s">
        <v>4044</v>
      </c>
      <c r="E1509" s="2">
        <v>2018</v>
      </c>
      <c r="F1509" s="3" t="s">
        <v>4045</v>
      </c>
      <c r="G1509" s="2" t="s">
        <v>12</v>
      </c>
      <c r="H1509" s="3" t="s">
        <v>4046</v>
      </c>
      <c r="I1509" s="12" t="s">
        <v>3204</v>
      </c>
    </row>
    <row r="1510" spans="1:9" ht="45" x14ac:dyDescent="0.25">
      <c r="A1510" s="2">
        <v>1507</v>
      </c>
      <c r="B1510" s="3" t="s">
        <v>3457</v>
      </c>
      <c r="C1510" s="3" t="s">
        <v>4047</v>
      </c>
      <c r="D1510" s="3" t="s">
        <v>4047</v>
      </c>
      <c r="E1510" s="2">
        <v>2018</v>
      </c>
      <c r="F1510" s="3" t="s">
        <v>4041</v>
      </c>
      <c r="G1510" s="2" t="s">
        <v>12</v>
      </c>
      <c r="H1510" s="3" t="s">
        <v>4046</v>
      </c>
      <c r="I1510" s="12" t="s">
        <v>3204</v>
      </c>
    </row>
    <row r="1511" spans="1:9" ht="45" x14ac:dyDescent="0.25">
      <c r="A1511" s="2">
        <v>1508</v>
      </c>
      <c r="B1511" s="3" t="s">
        <v>3457</v>
      </c>
      <c r="C1511" s="3" t="s">
        <v>4047</v>
      </c>
      <c r="D1511" s="3" t="s">
        <v>4047</v>
      </c>
      <c r="E1511" s="2">
        <v>2018</v>
      </c>
      <c r="F1511" s="3" t="s">
        <v>4041</v>
      </c>
      <c r="G1511" s="2" t="s">
        <v>12</v>
      </c>
      <c r="H1511" s="3" t="s">
        <v>4046</v>
      </c>
      <c r="I1511" s="12" t="s">
        <v>3204</v>
      </c>
    </row>
    <row r="1512" spans="1:9" ht="45" x14ac:dyDescent="0.25">
      <c r="A1512" s="2">
        <v>1509</v>
      </c>
      <c r="B1512" s="3" t="s">
        <v>4048</v>
      </c>
      <c r="C1512" s="3" t="s">
        <v>4049</v>
      </c>
      <c r="D1512" s="3" t="s">
        <v>4049</v>
      </c>
      <c r="E1512" s="2">
        <v>2018</v>
      </c>
      <c r="F1512" s="3" t="s">
        <v>4050</v>
      </c>
      <c r="G1512" s="2" t="s">
        <v>12</v>
      </c>
      <c r="H1512" s="3" t="s">
        <v>4051</v>
      </c>
      <c r="I1512" s="12" t="s">
        <v>3204</v>
      </c>
    </row>
    <row r="1513" spans="1:9" ht="75" x14ac:dyDescent="0.25">
      <c r="A1513" s="2">
        <v>1510</v>
      </c>
      <c r="B1513" s="3" t="s">
        <v>3737</v>
      </c>
      <c r="C1513" s="3" t="s">
        <v>4052</v>
      </c>
      <c r="D1513" s="3" t="s">
        <v>4052</v>
      </c>
      <c r="E1513" s="2">
        <v>2018</v>
      </c>
      <c r="F1513" s="3" t="s">
        <v>4053</v>
      </c>
      <c r="G1513" s="2" t="s">
        <v>12</v>
      </c>
      <c r="H1513" s="3" t="s">
        <v>4054</v>
      </c>
      <c r="I1513" s="12" t="s">
        <v>3204</v>
      </c>
    </row>
    <row r="1514" spans="1:9" ht="60" x14ac:dyDescent="0.25">
      <c r="A1514" s="2">
        <v>1511</v>
      </c>
      <c r="B1514" s="3" t="s">
        <v>3737</v>
      </c>
      <c r="C1514" s="3" t="s">
        <v>4055</v>
      </c>
      <c r="D1514" s="3" t="s">
        <v>4055</v>
      </c>
      <c r="E1514" s="2">
        <v>2018</v>
      </c>
      <c r="F1514" s="3" t="s">
        <v>4053</v>
      </c>
      <c r="G1514" s="2" t="s">
        <v>12</v>
      </c>
      <c r="H1514" s="3" t="s">
        <v>4054</v>
      </c>
      <c r="I1514" s="12" t="s">
        <v>3204</v>
      </c>
    </row>
    <row r="1515" spans="1:9" ht="45" x14ac:dyDescent="0.25">
      <c r="A1515" s="2">
        <v>1512</v>
      </c>
      <c r="B1515" s="3" t="s">
        <v>3737</v>
      </c>
      <c r="C1515" s="3" t="s">
        <v>4056</v>
      </c>
      <c r="D1515" s="3" t="s">
        <v>4056</v>
      </c>
      <c r="E1515" s="2">
        <v>2018</v>
      </c>
      <c r="F1515" s="3" t="s">
        <v>4053</v>
      </c>
      <c r="G1515" s="2" t="s">
        <v>12</v>
      </c>
      <c r="H1515" s="3" t="s">
        <v>4054</v>
      </c>
      <c r="I1515" s="12" t="s">
        <v>3204</v>
      </c>
    </row>
    <row r="1516" spans="1:9" ht="30" x14ac:dyDescent="0.25">
      <c r="A1516" s="2">
        <v>1513</v>
      </c>
      <c r="B1516" s="3" t="s">
        <v>3737</v>
      </c>
      <c r="C1516" s="3" t="s">
        <v>4057</v>
      </c>
      <c r="D1516" s="3" t="s">
        <v>4057</v>
      </c>
      <c r="E1516" s="2">
        <v>2018</v>
      </c>
      <c r="F1516" s="3" t="s">
        <v>4053</v>
      </c>
      <c r="G1516" s="2" t="s">
        <v>12</v>
      </c>
      <c r="H1516" s="3" t="s">
        <v>4054</v>
      </c>
      <c r="I1516" s="12" t="s">
        <v>3204</v>
      </c>
    </row>
    <row r="1517" spans="1:9" ht="30" x14ac:dyDescent="0.25">
      <c r="A1517" s="2">
        <v>1514</v>
      </c>
      <c r="B1517" s="3" t="s">
        <v>3737</v>
      </c>
      <c r="C1517" s="3" t="s">
        <v>4058</v>
      </c>
      <c r="D1517" s="3" t="s">
        <v>4058</v>
      </c>
      <c r="E1517" s="2">
        <v>2018</v>
      </c>
      <c r="F1517" s="3" t="s">
        <v>4053</v>
      </c>
      <c r="G1517" s="2" t="s">
        <v>12</v>
      </c>
      <c r="H1517" s="3" t="s">
        <v>4054</v>
      </c>
      <c r="I1517" s="12" t="s">
        <v>3204</v>
      </c>
    </row>
    <row r="1518" spans="1:9" ht="30" x14ac:dyDescent="0.25">
      <c r="A1518" s="2">
        <v>1515</v>
      </c>
      <c r="B1518" s="3" t="s">
        <v>3737</v>
      </c>
      <c r="C1518" s="3" t="s">
        <v>4059</v>
      </c>
      <c r="D1518" s="3" t="s">
        <v>4059</v>
      </c>
      <c r="E1518" s="2">
        <v>2018</v>
      </c>
      <c r="F1518" s="3" t="s">
        <v>4053</v>
      </c>
      <c r="G1518" s="2" t="s">
        <v>12</v>
      </c>
      <c r="H1518" s="3" t="s">
        <v>4054</v>
      </c>
      <c r="I1518" s="12" t="s">
        <v>3204</v>
      </c>
    </row>
    <row r="1519" spans="1:9" ht="30" x14ac:dyDescent="0.25">
      <c r="A1519" s="2">
        <v>1516</v>
      </c>
      <c r="B1519" s="3" t="s">
        <v>3737</v>
      </c>
      <c r="C1519" s="3" t="s">
        <v>4060</v>
      </c>
      <c r="D1519" s="3" t="s">
        <v>4060</v>
      </c>
      <c r="E1519" s="2">
        <v>2018</v>
      </c>
      <c r="F1519" s="3" t="s">
        <v>4053</v>
      </c>
      <c r="G1519" s="2" t="s">
        <v>12</v>
      </c>
      <c r="H1519" s="3" t="s">
        <v>4054</v>
      </c>
      <c r="I1519" s="12" t="s">
        <v>3204</v>
      </c>
    </row>
    <row r="1520" spans="1:9" ht="45" x14ac:dyDescent="0.25">
      <c r="A1520" s="2">
        <v>1517</v>
      </c>
      <c r="B1520" s="3" t="s">
        <v>3737</v>
      </c>
      <c r="C1520" s="3" t="s">
        <v>4056</v>
      </c>
      <c r="D1520" s="3" t="s">
        <v>4056</v>
      </c>
      <c r="E1520" s="2">
        <v>2018</v>
      </c>
      <c r="F1520" s="3" t="s">
        <v>4053</v>
      </c>
      <c r="G1520" s="2" t="s">
        <v>12</v>
      </c>
      <c r="H1520" s="3" t="s">
        <v>4054</v>
      </c>
      <c r="I1520" s="12" t="s">
        <v>3204</v>
      </c>
    </row>
    <row r="1521" spans="1:9" ht="30" x14ac:dyDescent="0.25">
      <c r="A1521" s="2">
        <v>1518</v>
      </c>
      <c r="B1521" s="3" t="s">
        <v>3737</v>
      </c>
      <c r="C1521" s="3" t="s">
        <v>4061</v>
      </c>
      <c r="D1521" s="3" t="s">
        <v>4061</v>
      </c>
      <c r="E1521" s="2">
        <v>2018</v>
      </c>
      <c r="F1521" s="3" t="s">
        <v>4053</v>
      </c>
      <c r="G1521" s="2" t="s">
        <v>12</v>
      </c>
      <c r="H1521" s="3" t="s">
        <v>4054</v>
      </c>
      <c r="I1521" s="12" t="s">
        <v>3204</v>
      </c>
    </row>
    <row r="1522" spans="1:9" ht="45" x14ac:dyDescent="0.25">
      <c r="A1522" s="2">
        <v>1519</v>
      </c>
      <c r="B1522" s="3" t="s">
        <v>3737</v>
      </c>
      <c r="C1522" s="3" t="s">
        <v>4062</v>
      </c>
      <c r="D1522" s="3" t="s">
        <v>4062</v>
      </c>
      <c r="E1522" s="2">
        <v>2018</v>
      </c>
      <c r="F1522" s="3" t="s">
        <v>3990</v>
      </c>
      <c r="G1522" s="2" t="s">
        <v>12</v>
      </c>
      <c r="H1522" s="3" t="s">
        <v>3991</v>
      </c>
      <c r="I1522" s="12" t="s">
        <v>3204</v>
      </c>
    </row>
    <row r="1523" spans="1:9" ht="30" x14ac:dyDescent="0.25">
      <c r="A1523" s="2">
        <v>1520</v>
      </c>
      <c r="B1523" s="3" t="s">
        <v>3741</v>
      </c>
      <c r="C1523" s="3" t="s">
        <v>4063</v>
      </c>
      <c r="D1523" s="3" t="s">
        <v>4063</v>
      </c>
      <c r="E1523" s="2">
        <v>2018</v>
      </c>
      <c r="F1523" s="3" t="s">
        <v>3992</v>
      </c>
      <c r="G1523" s="2" t="s">
        <v>12</v>
      </c>
      <c r="H1523" s="3" t="s">
        <v>3995</v>
      </c>
      <c r="I1523" s="12" t="s">
        <v>3204</v>
      </c>
    </row>
    <row r="1524" spans="1:9" ht="45" x14ac:dyDescent="0.25">
      <c r="A1524" s="2">
        <v>1521</v>
      </c>
      <c r="B1524" s="3" t="s">
        <v>3741</v>
      </c>
      <c r="C1524" s="3" t="s">
        <v>4064</v>
      </c>
      <c r="D1524" s="3" t="s">
        <v>4064</v>
      </c>
      <c r="E1524" s="2">
        <v>2018</v>
      </c>
      <c r="F1524" s="3" t="s">
        <v>3992</v>
      </c>
      <c r="G1524" s="2" t="s">
        <v>12</v>
      </c>
      <c r="H1524" s="3" t="s">
        <v>3995</v>
      </c>
      <c r="I1524" s="12" t="s">
        <v>3204</v>
      </c>
    </row>
    <row r="1525" spans="1:9" ht="30" x14ac:dyDescent="0.25">
      <c r="A1525" s="2">
        <v>1522</v>
      </c>
      <c r="B1525" s="3" t="s">
        <v>3741</v>
      </c>
      <c r="C1525" s="3" t="s">
        <v>4065</v>
      </c>
      <c r="D1525" s="3" t="s">
        <v>4065</v>
      </c>
      <c r="E1525" s="2">
        <v>2018</v>
      </c>
      <c r="F1525" s="3" t="s">
        <v>3992</v>
      </c>
      <c r="G1525" s="2" t="s">
        <v>12</v>
      </c>
      <c r="H1525" s="3" t="s">
        <v>3995</v>
      </c>
      <c r="I1525" s="12" t="s">
        <v>3204</v>
      </c>
    </row>
    <row r="1526" spans="1:9" ht="30" x14ac:dyDescent="0.25">
      <c r="A1526" s="2">
        <v>1523</v>
      </c>
      <c r="B1526" s="3" t="s">
        <v>3873</v>
      </c>
      <c r="C1526" s="3" t="s">
        <v>4066</v>
      </c>
      <c r="D1526" s="3" t="s">
        <v>4066</v>
      </c>
      <c r="E1526" s="2">
        <v>2018</v>
      </c>
      <c r="F1526" s="3" t="s">
        <v>3201</v>
      </c>
      <c r="G1526" s="2" t="s">
        <v>12</v>
      </c>
      <c r="H1526" s="3" t="s">
        <v>3201</v>
      </c>
      <c r="I1526" s="12" t="s">
        <v>3204</v>
      </c>
    </row>
    <row r="1527" spans="1:9" ht="30" x14ac:dyDescent="0.25">
      <c r="A1527" s="2">
        <v>1524</v>
      </c>
      <c r="B1527" s="3" t="s">
        <v>4067</v>
      </c>
      <c r="C1527" s="3" t="s">
        <v>4068</v>
      </c>
      <c r="D1527" s="3" t="s">
        <v>4068</v>
      </c>
      <c r="E1527" s="2">
        <v>2018</v>
      </c>
      <c r="F1527" s="3" t="s">
        <v>4069</v>
      </c>
      <c r="G1527" s="2" t="s">
        <v>12</v>
      </c>
      <c r="H1527" s="3" t="s">
        <v>4070</v>
      </c>
      <c r="I1527" s="12" t="s">
        <v>3204</v>
      </c>
    </row>
    <row r="1528" spans="1:9" ht="45" x14ac:dyDescent="0.25">
      <c r="A1528" s="2">
        <v>1525</v>
      </c>
      <c r="B1528" s="3" t="s">
        <v>3199</v>
      </c>
      <c r="C1528" s="3" t="s">
        <v>4071</v>
      </c>
      <c r="D1528" s="3" t="s">
        <v>4071</v>
      </c>
      <c r="E1528" s="2">
        <v>2022</v>
      </c>
      <c r="F1528" s="3" t="s">
        <v>4072</v>
      </c>
      <c r="G1528" s="2" t="s">
        <v>12</v>
      </c>
      <c r="H1528" s="3" t="s">
        <v>4073</v>
      </c>
      <c r="I1528" s="12" t="s">
        <v>3204</v>
      </c>
    </row>
    <row r="1529" spans="1:9" ht="135" x14ac:dyDescent="0.25">
      <c r="A1529" s="2">
        <v>1526</v>
      </c>
      <c r="B1529" s="3" t="s">
        <v>3199</v>
      </c>
      <c r="C1529" s="3" t="s">
        <v>4074</v>
      </c>
      <c r="D1529" s="3" t="s">
        <v>4074</v>
      </c>
      <c r="E1529" s="2">
        <v>2022</v>
      </c>
      <c r="F1529" s="3" t="s">
        <v>4072</v>
      </c>
      <c r="G1529" s="2" t="s">
        <v>12</v>
      </c>
      <c r="H1529" s="3" t="s">
        <v>4073</v>
      </c>
      <c r="I1529" s="12" t="s">
        <v>3204</v>
      </c>
    </row>
    <row r="1530" spans="1:9" ht="45" x14ac:dyDescent="0.25">
      <c r="A1530" s="2">
        <v>1527</v>
      </c>
      <c r="B1530" s="3" t="s">
        <v>3199</v>
      </c>
      <c r="C1530" s="3" t="s">
        <v>4075</v>
      </c>
      <c r="D1530" s="3" t="s">
        <v>4075</v>
      </c>
      <c r="E1530" s="2">
        <v>2022</v>
      </c>
      <c r="F1530" s="3" t="s">
        <v>4072</v>
      </c>
      <c r="G1530" s="2" t="s">
        <v>12</v>
      </c>
      <c r="H1530" s="3" t="s">
        <v>4073</v>
      </c>
      <c r="I1530" s="12" t="s">
        <v>3204</v>
      </c>
    </row>
    <row r="1531" spans="1:9" ht="30" x14ac:dyDescent="0.25">
      <c r="A1531" s="2">
        <v>1528</v>
      </c>
      <c r="B1531" s="3" t="s">
        <v>3199</v>
      </c>
      <c r="C1531" s="3" t="s">
        <v>4076</v>
      </c>
      <c r="D1531" s="3" t="s">
        <v>4076</v>
      </c>
      <c r="E1531" s="2">
        <v>2022</v>
      </c>
      <c r="F1531" s="3" t="s">
        <v>4072</v>
      </c>
      <c r="G1531" s="2" t="s">
        <v>12</v>
      </c>
      <c r="H1531" s="3" t="s">
        <v>4073</v>
      </c>
      <c r="I1531" s="12" t="s">
        <v>3204</v>
      </c>
    </row>
    <row r="1532" spans="1:9" ht="45" x14ac:dyDescent="0.25">
      <c r="A1532" s="2">
        <v>1529</v>
      </c>
      <c r="B1532" s="3" t="s">
        <v>3199</v>
      </c>
      <c r="C1532" s="3" t="s">
        <v>4077</v>
      </c>
      <c r="D1532" s="3" t="s">
        <v>4077</v>
      </c>
      <c r="E1532" s="2">
        <v>2022</v>
      </c>
      <c r="F1532" s="3" t="s">
        <v>4072</v>
      </c>
      <c r="G1532" s="2" t="s">
        <v>12</v>
      </c>
      <c r="H1532" s="3" t="s">
        <v>4073</v>
      </c>
      <c r="I1532" s="12" t="s">
        <v>3204</v>
      </c>
    </row>
    <row r="1533" spans="1:9" ht="30" x14ac:dyDescent="0.25">
      <c r="A1533" s="2">
        <v>1530</v>
      </c>
      <c r="B1533" s="3" t="s">
        <v>3199</v>
      </c>
      <c r="C1533" s="3" t="s">
        <v>4078</v>
      </c>
      <c r="D1533" s="3" t="s">
        <v>4078</v>
      </c>
      <c r="E1533" s="2">
        <v>2023</v>
      </c>
      <c r="F1533" s="3" t="s">
        <v>4072</v>
      </c>
      <c r="G1533" s="2" t="s">
        <v>12</v>
      </c>
      <c r="H1533" s="3" t="s">
        <v>4073</v>
      </c>
      <c r="I1533" s="12" t="s">
        <v>3204</v>
      </c>
    </row>
    <row r="1534" spans="1:9" ht="30" x14ac:dyDescent="0.25">
      <c r="A1534" s="2">
        <v>1531</v>
      </c>
      <c r="B1534" s="3" t="s">
        <v>3199</v>
      </c>
      <c r="C1534" s="3" t="s">
        <v>4079</v>
      </c>
      <c r="D1534" s="3" t="s">
        <v>4079</v>
      </c>
      <c r="E1534" s="2">
        <v>2023</v>
      </c>
      <c r="F1534" s="3" t="s">
        <v>4072</v>
      </c>
      <c r="G1534" s="2" t="s">
        <v>12</v>
      </c>
      <c r="H1534" s="3" t="s">
        <v>4073</v>
      </c>
      <c r="I1534" s="12" t="s">
        <v>3204</v>
      </c>
    </row>
    <row r="1535" spans="1:9" ht="30" x14ac:dyDescent="0.25">
      <c r="A1535" s="2">
        <v>1532</v>
      </c>
      <c r="B1535" s="3" t="s">
        <v>3199</v>
      </c>
      <c r="C1535" s="3" t="s">
        <v>4079</v>
      </c>
      <c r="D1535" s="3" t="s">
        <v>4079</v>
      </c>
      <c r="E1535" s="2">
        <v>2023</v>
      </c>
      <c r="F1535" s="3" t="s">
        <v>4072</v>
      </c>
      <c r="G1535" s="2" t="s">
        <v>12</v>
      </c>
      <c r="H1535" s="3" t="s">
        <v>4073</v>
      </c>
      <c r="I1535" s="12" t="s">
        <v>3204</v>
      </c>
    </row>
    <row r="1536" spans="1:9" ht="30" x14ac:dyDescent="0.25">
      <c r="A1536" s="2">
        <v>1533</v>
      </c>
      <c r="B1536" s="3" t="s">
        <v>3199</v>
      </c>
      <c r="C1536" s="3" t="s">
        <v>4079</v>
      </c>
      <c r="D1536" s="3" t="s">
        <v>4079</v>
      </c>
      <c r="E1536" s="2">
        <v>2023</v>
      </c>
      <c r="F1536" s="3" t="s">
        <v>4072</v>
      </c>
      <c r="G1536" s="2" t="s">
        <v>12</v>
      </c>
      <c r="H1536" s="3" t="s">
        <v>4073</v>
      </c>
      <c r="I1536" s="12" t="s">
        <v>3204</v>
      </c>
    </row>
    <row r="1537" spans="1:9" ht="60" x14ac:dyDescent="0.25">
      <c r="A1537" s="2">
        <v>1534</v>
      </c>
      <c r="B1537" s="3" t="s">
        <v>3199</v>
      </c>
      <c r="C1537" s="3" t="s">
        <v>4080</v>
      </c>
      <c r="D1537" s="3" t="s">
        <v>4080</v>
      </c>
      <c r="E1537" s="2">
        <v>2023</v>
      </c>
      <c r="F1537" s="3" t="s">
        <v>4072</v>
      </c>
      <c r="G1537" s="2" t="s">
        <v>12</v>
      </c>
      <c r="H1537" s="3" t="s">
        <v>4073</v>
      </c>
      <c r="I1537" s="12" t="s">
        <v>3204</v>
      </c>
    </row>
    <row r="1538" spans="1:9" ht="30" x14ac:dyDescent="0.25">
      <c r="A1538" s="2">
        <v>1535</v>
      </c>
      <c r="B1538" s="3" t="s">
        <v>3199</v>
      </c>
      <c r="C1538" s="3" t="s">
        <v>4081</v>
      </c>
      <c r="D1538" s="3" t="s">
        <v>4081</v>
      </c>
      <c r="E1538" s="2">
        <v>2023</v>
      </c>
      <c r="F1538" s="3" t="s">
        <v>4072</v>
      </c>
      <c r="G1538" s="2" t="s">
        <v>12</v>
      </c>
      <c r="H1538" s="3" t="s">
        <v>4073</v>
      </c>
      <c r="I1538" s="12" t="s">
        <v>3204</v>
      </c>
    </row>
    <row r="1539" spans="1:9" ht="30" x14ac:dyDescent="0.25">
      <c r="A1539" s="2">
        <v>1536</v>
      </c>
      <c r="B1539" s="3" t="s">
        <v>3199</v>
      </c>
      <c r="C1539" s="3" t="s">
        <v>4082</v>
      </c>
      <c r="D1539" s="3" t="s">
        <v>4082</v>
      </c>
      <c r="E1539" s="2">
        <v>2023</v>
      </c>
      <c r="F1539" s="3" t="s">
        <v>4072</v>
      </c>
      <c r="G1539" s="2" t="s">
        <v>12</v>
      </c>
      <c r="H1539" s="3" t="s">
        <v>4073</v>
      </c>
      <c r="I1539" s="12" t="s">
        <v>3204</v>
      </c>
    </row>
    <row r="1540" spans="1:9" ht="30" x14ac:dyDescent="0.25">
      <c r="A1540" s="2">
        <v>1537</v>
      </c>
      <c r="B1540" s="3" t="s">
        <v>3199</v>
      </c>
      <c r="C1540" s="3" t="s">
        <v>4083</v>
      </c>
      <c r="D1540" s="3" t="s">
        <v>4083</v>
      </c>
      <c r="E1540" s="2">
        <v>2023</v>
      </c>
      <c r="F1540" s="3" t="s">
        <v>4072</v>
      </c>
      <c r="G1540" s="2" t="s">
        <v>12</v>
      </c>
      <c r="H1540" s="3" t="s">
        <v>4073</v>
      </c>
      <c r="I1540" s="12" t="s">
        <v>3204</v>
      </c>
    </row>
    <row r="1541" spans="1:9" ht="90" x14ac:dyDescent="0.25">
      <c r="A1541" s="2">
        <v>1538</v>
      </c>
      <c r="B1541" s="3" t="s">
        <v>3199</v>
      </c>
      <c r="C1541" s="3" t="s">
        <v>4084</v>
      </c>
      <c r="D1541" s="3" t="s">
        <v>4084</v>
      </c>
      <c r="E1541" s="2">
        <v>2023</v>
      </c>
      <c r="F1541" s="3" t="s">
        <v>4072</v>
      </c>
      <c r="G1541" s="2" t="s">
        <v>12</v>
      </c>
      <c r="H1541" s="3" t="s">
        <v>4073</v>
      </c>
      <c r="I1541" s="12" t="s">
        <v>3204</v>
      </c>
    </row>
    <row r="1542" spans="1:9" ht="105" x14ac:dyDescent="0.25">
      <c r="A1542" s="2">
        <v>1539</v>
      </c>
      <c r="B1542" s="3" t="s">
        <v>3257</v>
      </c>
      <c r="C1542" s="3" t="s">
        <v>4085</v>
      </c>
      <c r="D1542" s="3" t="s">
        <v>4085</v>
      </c>
      <c r="E1542" s="2">
        <v>2021</v>
      </c>
      <c r="F1542" s="3" t="s">
        <v>3259</v>
      </c>
      <c r="G1542" s="2" t="s">
        <v>12</v>
      </c>
      <c r="H1542" s="3" t="s">
        <v>3260</v>
      </c>
      <c r="I1542" s="12" t="s">
        <v>3204</v>
      </c>
    </row>
    <row r="1543" spans="1:9" ht="105" x14ac:dyDescent="0.25">
      <c r="A1543" s="2">
        <v>1540</v>
      </c>
      <c r="B1543" s="3" t="s">
        <v>3257</v>
      </c>
      <c r="C1543" s="3" t="s">
        <v>3262</v>
      </c>
      <c r="D1543" s="3" t="s">
        <v>3262</v>
      </c>
      <c r="E1543" s="2">
        <v>2021</v>
      </c>
      <c r="F1543" s="3" t="s">
        <v>3259</v>
      </c>
      <c r="G1543" s="2" t="s">
        <v>12</v>
      </c>
      <c r="H1543" s="3" t="s">
        <v>3260</v>
      </c>
      <c r="I1543" s="12" t="s">
        <v>3204</v>
      </c>
    </row>
    <row r="1544" spans="1:9" ht="60" x14ac:dyDescent="0.25">
      <c r="A1544" s="2">
        <v>1541</v>
      </c>
      <c r="B1544" s="3" t="s">
        <v>3263</v>
      </c>
      <c r="C1544" s="3" t="s">
        <v>4086</v>
      </c>
      <c r="D1544" s="3" t="s">
        <v>4086</v>
      </c>
      <c r="E1544" s="2">
        <v>2022</v>
      </c>
      <c r="F1544" s="3" t="s">
        <v>3274</v>
      </c>
      <c r="G1544" s="2" t="s">
        <v>12</v>
      </c>
      <c r="H1544" s="3" t="s">
        <v>3266</v>
      </c>
      <c r="I1544" s="12" t="s">
        <v>3204</v>
      </c>
    </row>
    <row r="1545" spans="1:9" ht="150" x14ac:dyDescent="0.25">
      <c r="A1545" s="2">
        <v>1542</v>
      </c>
      <c r="B1545" s="3" t="s">
        <v>3257</v>
      </c>
      <c r="C1545" s="3" t="s">
        <v>3268</v>
      </c>
      <c r="D1545" s="3" t="s">
        <v>3268</v>
      </c>
      <c r="E1545" s="2">
        <v>2022</v>
      </c>
      <c r="F1545" s="3" t="s">
        <v>3269</v>
      </c>
      <c r="G1545" s="2" t="s">
        <v>12</v>
      </c>
      <c r="H1545" s="3" t="s">
        <v>3274</v>
      </c>
      <c r="I1545" s="12" t="s">
        <v>3204</v>
      </c>
    </row>
    <row r="1546" spans="1:9" ht="105" x14ac:dyDescent="0.25">
      <c r="A1546" s="2">
        <v>1543</v>
      </c>
      <c r="B1546" s="3" t="s">
        <v>3257</v>
      </c>
      <c r="C1546" s="3" t="s">
        <v>3272</v>
      </c>
      <c r="D1546" s="3" t="s">
        <v>3272</v>
      </c>
      <c r="E1546" s="2">
        <v>2021</v>
      </c>
      <c r="F1546" s="3" t="s">
        <v>3273</v>
      </c>
      <c r="G1546" s="2" t="s">
        <v>12</v>
      </c>
      <c r="H1546" s="3" t="s">
        <v>3274</v>
      </c>
      <c r="I1546" s="12" t="s">
        <v>3204</v>
      </c>
    </row>
    <row r="1547" spans="1:9" ht="105" x14ac:dyDescent="0.25">
      <c r="A1547" s="2">
        <v>1544</v>
      </c>
      <c r="B1547" s="3" t="s">
        <v>3257</v>
      </c>
      <c r="C1547" s="3" t="s">
        <v>3275</v>
      </c>
      <c r="D1547" s="3" t="s">
        <v>3275</v>
      </c>
      <c r="E1547" s="2">
        <v>2021</v>
      </c>
      <c r="F1547" s="3" t="s">
        <v>3273</v>
      </c>
      <c r="G1547" s="2" t="s">
        <v>12</v>
      </c>
      <c r="H1547" s="3" t="s">
        <v>3276</v>
      </c>
      <c r="I1547" s="12" t="s">
        <v>3204</v>
      </c>
    </row>
    <row r="1548" spans="1:9" ht="75" x14ac:dyDescent="0.25">
      <c r="A1548" s="2">
        <v>1545</v>
      </c>
      <c r="B1548" s="3" t="s">
        <v>3277</v>
      </c>
      <c r="C1548" s="3" t="s">
        <v>4087</v>
      </c>
      <c r="D1548" s="3" t="s">
        <v>4087</v>
      </c>
      <c r="E1548" s="2">
        <v>2021</v>
      </c>
      <c r="F1548" s="3">
        <v>9780367276942</v>
      </c>
      <c r="G1548" s="2" t="s">
        <v>12</v>
      </c>
      <c r="H1548" s="3" t="s">
        <v>3279</v>
      </c>
      <c r="I1548" s="15" t="s">
        <v>3204</v>
      </c>
    </row>
    <row r="1549" spans="1:9" ht="75" x14ac:dyDescent="0.25">
      <c r="A1549" s="2">
        <v>1546</v>
      </c>
      <c r="B1549" s="3" t="s">
        <v>3277</v>
      </c>
      <c r="C1549" s="3" t="s">
        <v>4088</v>
      </c>
      <c r="D1549" s="3" t="s">
        <v>4088</v>
      </c>
      <c r="E1549" s="2">
        <v>2020</v>
      </c>
      <c r="F1549" s="3" t="s">
        <v>3281</v>
      </c>
      <c r="G1549" s="2" t="s">
        <v>12</v>
      </c>
      <c r="H1549" s="3" t="s">
        <v>3282</v>
      </c>
      <c r="I1549" s="15" t="s">
        <v>3204</v>
      </c>
    </row>
    <row r="1550" spans="1:9" ht="30" x14ac:dyDescent="0.25">
      <c r="A1550" s="2">
        <v>1547</v>
      </c>
      <c r="B1550" s="3" t="s">
        <v>3283</v>
      </c>
      <c r="C1550" s="3" t="s">
        <v>4089</v>
      </c>
      <c r="D1550" s="3" t="s">
        <v>4089</v>
      </c>
      <c r="E1550" s="2">
        <v>2022</v>
      </c>
      <c r="F1550" s="3" t="s">
        <v>3285</v>
      </c>
      <c r="G1550" s="2" t="s">
        <v>12</v>
      </c>
      <c r="H1550" s="3" t="s">
        <v>3286</v>
      </c>
      <c r="I1550" s="15" t="s">
        <v>3204</v>
      </c>
    </row>
    <row r="1551" spans="1:9" ht="30" x14ac:dyDescent="0.25">
      <c r="A1551" s="2">
        <v>1548</v>
      </c>
      <c r="B1551" s="3" t="s">
        <v>3287</v>
      </c>
      <c r="C1551" s="3" t="s">
        <v>3348</v>
      </c>
      <c r="D1551" s="3" t="s">
        <v>3348</v>
      </c>
      <c r="E1551" s="2">
        <v>2022</v>
      </c>
      <c r="F1551" s="3" t="s">
        <v>3289</v>
      </c>
      <c r="G1551" s="2" t="s">
        <v>12</v>
      </c>
      <c r="H1551" s="3" t="s">
        <v>3290</v>
      </c>
      <c r="I1551" s="15" t="s">
        <v>3204</v>
      </c>
    </row>
    <row r="1552" spans="1:9" ht="60" x14ac:dyDescent="0.25">
      <c r="A1552" s="2">
        <v>1549</v>
      </c>
      <c r="B1552" s="3" t="s">
        <v>3277</v>
      </c>
      <c r="C1552" s="3" t="s">
        <v>4090</v>
      </c>
      <c r="D1552" s="3" t="s">
        <v>4090</v>
      </c>
      <c r="E1552" s="2">
        <v>2022</v>
      </c>
      <c r="F1552" s="3" t="s">
        <v>3292</v>
      </c>
      <c r="G1552" s="2" t="s">
        <v>12</v>
      </c>
      <c r="H1552" s="3" t="s">
        <v>3293</v>
      </c>
      <c r="I1552" s="15" t="s">
        <v>3204</v>
      </c>
    </row>
    <row r="1553" spans="1:9" ht="105" x14ac:dyDescent="0.25">
      <c r="A1553" s="2">
        <v>1550</v>
      </c>
      <c r="B1553" s="3" t="s">
        <v>3300</v>
      </c>
      <c r="C1553" s="3" t="s">
        <v>4091</v>
      </c>
      <c r="D1553" s="3" t="s">
        <v>4091</v>
      </c>
      <c r="E1553" s="2">
        <v>2019</v>
      </c>
      <c r="F1553" s="3" t="s">
        <v>4092</v>
      </c>
      <c r="G1553" s="2" t="s">
        <v>12</v>
      </c>
      <c r="H1553" s="3" t="s">
        <v>4093</v>
      </c>
      <c r="I1553" s="12" t="s">
        <v>3204</v>
      </c>
    </row>
    <row r="1554" spans="1:9" ht="60" x14ac:dyDescent="0.25">
      <c r="A1554" s="2">
        <v>1551</v>
      </c>
      <c r="B1554" s="3" t="s">
        <v>3294</v>
      </c>
      <c r="C1554" s="3" t="s">
        <v>4094</v>
      </c>
      <c r="D1554" s="3" t="s">
        <v>4094</v>
      </c>
      <c r="E1554" s="2">
        <v>2019</v>
      </c>
      <c r="F1554" s="3" t="s">
        <v>3296</v>
      </c>
      <c r="G1554" s="2" t="s">
        <v>12</v>
      </c>
      <c r="H1554" s="3" t="s">
        <v>3297</v>
      </c>
      <c r="I1554" s="12" t="s">
        <v>3204</v>
      </c>
    </row>
    <row r="1555" spans="1:9" ht="45" x14ac:dyDescent="0.25">
      <c r="A1555" s="2">
        <v>1552</v>
      </c>
      <c r="B1555" s="3" t="s">
        <v>3294</v>
      </c>
      <c r="C1555" s="3" t="s">
        <v>4095</v>
      </c>
      <c r="D1555" s="3" t="s">
        <v>4095</v>
      </c>
      <c r="E1555" s="2">
        <v>2019</v>
      </c>
      <c r="F1555" s="3" t="s">
        <v>3296</v>
      </c>
      <c r="G1555" s="2" t="s">
        <v>12</v>
      </c>
      <c r="H1555" s="3" t="s">
        <v>3297</v>
      </c>
      <c r="I1555" s="12" t="s">
        <v>3204</v>
      </c>
    </row>
    <row r="1556" spans="1:9" ht="60" x14ac:dyDescent="0.25">
      <c r="A1556" s="2">
        <v>1553</v>
      </c>
      <c r="B1556" s="3" t="s">
        <v>3294</v>
      </c>
      <c r="C1556" s="3" t="s">
        <v>4096</v>
      </c>
      <c r="D1556" s="3" t="s">
        <v>4096</v>
      </c>
      <c r="E1556" s="2">
        <v>2019</v>
      </c>
      <c r="F1556" s="3" t="s">
        <v>3296</v>
      </c>
      <c r="G1556" s="2" t="s">
        <v>12</v>
      </c>
      <c r="H1556" s="3" t="s">
        <v>3297</v>
      </c>
      <c r="I1556" s="12" t="s">
        <v>3204</v>
      </c>
    </row>
    <row r="1557" spans="1:9" ht="45" x14ac:dyDescent="0.25">
      <c r="A1557" s="2">
        <v>1554</v>
      </c>
      <c r="B1557" s="3" t="s">
        <v>3294</v>
      </c>
      <c r="C1557" s="3" t="s">
        <v>4097</v>
      </c>
      <c r="D1557" s="3" t="s">
        <v>4097</v>
      </c>
      <c r="E1557" s="2">
        <v>2019</v>
      </c>
      <c r="F1557" s="3" t="s">
        <v>3296</v>
      </c>
      <c r="G1557" s="2" t="s">
        <v>12</v>
      </c>
      <c r="H1557" s="3" t="s">
        <v>3297</v>
      </c>
      <c r="I1557" s="12" t="s">
        <v>3204</v>
      </c>
    </row>
    <row r="1558" spans="1:9" ht="45" x14ac:dyDescent="0.25">
      <c r="A1558" s="2">
        <v>1555</v>
      </c>
      <c r="B1558" s="3" t="s">
        <v>3294</v>
      </c>
      <c r="C1558" s="3" t="s">
        <v>4098</v>
      </c>
      <c r="D1558" s="3" t="s">
        <v>4098</v>
      </c>
      <c r="E1558" s="2">
        <v>2019</v>
      </c>
      <c r="F1558" s="3" t="s">
        <v>3296</v>
      </c>
      <c r="G1558" s="2" t="s">
        <v>12</v>
      </c>
      <c r="H1558" s="3" t="s">
        <v>3297</v>
      </c>
      <c r="I1558" s="12" t="s">
        <v>3204</v>
      </c>
    </row>
    <row r="1559" spans="1:9" ht="90" x14ac:dyDescent="0.25">
      <c r="A1559" s="2">
        <v>1556</v>
      </c>
      <c r="B1559" s="3" t="s">
        <v>3294</v>
      </c>
      <c r="C1559" s="3" t="s">
        <v>4099</v>
      </c>
      <c r="D1559" s="3" t="s">
        <v>4099</v>
      </c>
      <c r="E1559" s="2">
        <v>2019</v>
      </c>
      <c r="F1559" s="3" t="s">
        <v>3296</v>
      </c>
      <c r="G1559" s="2" t="s">
        <v>12</v>
      </c>
      <c r="H1559" s="3" t="s">
        <v>3297</v>
      </c>
      <c r="I1559" s="12" t="s">
        <v>3204</v>
      </c>
    </row>
    <row r="1560" spans="1:9" ht="60" x14ac:dyDescent="0.25">
      <c r="A1560" s="2">
        <v>1557</v>
      </c>
      <c r="B1560" s="3" t="s">
        <v>3294</v>
      </c>
      <c r="C1560" s="3" t="s">
        <v>4100</v>
      </c>
      <c r="D1560" s="3" t="s">
        <v>4100</v>
      </c>
      <c r="E1560" s="2">
        <v>2019</v>
      </c>
      <c r="F1560" s="3" t="s">
        <v>3296</v>
      </c>
      <c r="G1560" s="2" t="s">
        <v>12</v>
      </c>
      <c r="H1560" s="3" t="s">
        <v>3297</v>
      </c>
      <c r="I1560" s="12" t="s">
        <v>3204</v>
      </c>
    </row>
    <row r="1561" spans="1:9" ht="30" x14ac:dyDescent="0.25">
      <c r="A1561" s="2">
        <v>1558</v>
      </c>
      <c r="B1561" s="3" t="s">
        <v>3294</v>
      </c>
      <c r="C1561" s="3" t="s">
        <v>4101</v>
      </c>
      <c r="D1561" s="3" t="s">
        <v>4101</v>
      </c>
      <c r="E1561" s="2">
        <v>2019</v>
      </c>
      <c r="F1561" s="3" t="s">
        <v>3296</v>
      </c>
      <c r="G1561" s="2" t="s">
        <v>12</v>
      </c>
      <c r="H1561" s="3" t="s">
        <v>3297</v>
      </c>
      <c r="I1561" s="12" t="s">
        <v>3204</v>
      </c>
    </row>
    <row r="1562" spans="1:9" ht="60" x14ac:dyDescent="0.25">
      <c r="A1562" s="2">
        <v>1559</v>
      </c>
      <c r="B1562" s="3" t="s">
        <v>3300</v>
      </c>
      <c r="C1562" s="3" t="s">
        <v>4102</v>
      </c>
      <c r="D1562" s="3" t="s">
        <v>4102</v>
      </c>
      <c r="E1562" s="2">
        <v>2020</v>
      </c>
      <c r="F1562" s="3" t="s">
        <v>4103</v>
      </c>
      <c r="G1562" s="2" t="s">
        <v>12</v>
      </c>
      <c r="H1562" s="3" t="s">
        <v>4093</v>
      </c>
      <c r="I1562" s="12" t="s">
        <v>3204</v>
      </c>
    </row>
    <row r="1563" spans="1:9" ht="45" x14ac:dyDescent="0.25">
      <c r="A1563" s="2">
        <v>1560</v>
      </c>
      <c r="B1563" s="3" t="s">
        <v>3300</v>
      </c>
      <c r="C1563" s="3" t="s">
        <v>4104</v>
      </c>
      <c r="D1563" s="3" t="s">
        <v>4104</v>
      </c>
      <c r="E1563" s="2">
        <v>2020</v>
      </c>
      <c r="F1563" s="3" t="s">
        <v>4103</v>
      </c>
      <c r="G1563" s="2" t="s">
        <v>12</v>
      </c>
      <c r="H1563" s="3" t="s">
        <v>4093</v>
      </c>
      <c r="I1563" s="12" t="s">
        <v>3204</v>
      </c>
    </row>
    <row r="1564" spans="1:9" ht="75" x14ac:dyDescent="0.25">
      <c r="A1564" s="2">
        <v>1561</v>
      </c>
      <c r="B1564" s="3" t="s">
        <v>3300</v>
      </c>
      <c r="C1564" s="3" t="s">
        <v>4105</v>
      </c>
      <c r="D1564" s="3" t="s">
        <v>4105</v>
      </c>
      <c r="E1564" s="2">
        <v>2020</v>
      </c>
      <c r="F1564" s="3" t="s">
        <v>4103</v>
      </c>
      <c r="G1564" s="2" t="s">
        <v>12</v>
      </c>
      <c r="H1564" s="3" t="s">
        <v>4093</v>
      </c>
      <c r="I1564" s="12" t="s">
        <v>3204</v>
      </c>
    </row>
    <row r="1565" spans="1:9" ht="45" x14ac:dyDescent="0.25">
      <c r="A1565" s="2">
        <v>1562</v>
      </c>
      <c r="B1565" s="3" t="s">
        <v>3300</v>
      </c>
      <c r="C1565" s="3" t="s">
        <v>4106</v>
      </c>
      <c r="D1565" s="3" t="s">
        <v>4106</v>
      </c>
      <c r="E1565" s="2">
        <v>2020</v>
      </c>
      <c r="F1565" s="3" t="s">
        <v>4103</v>
      </c>
      <c r="G1565" s="2" t="s">
        <v>12</v>
      </c>
      <c r="H1565" s="3" t="s">
        <v>4093</v>
      </c>
      <c r="I1565" s="12" t="s">
        <v>3204</v>
      </c>
    </row>
    <row r="1566" spans="1:9" ht="60" x14ac:dyDescent="0.25">
      <c r="A1566" s="2">
        <v>1563</v>
      </c>
      <c r="B1566" s="3" t="s">
        <v>3294</v>
      </c>
      <c r="C1566" s="3" t="s">
        <v>4107</v>
      </c>
      <c r="D1566" s="3" t="s">
        <v>4107</v>
      </c>
      <c r="E1566" s="2">
        <v>2020</v>
      </c>
      <c r="F1566" s="3" t="s">
        <v>3299</v>
      </c>
      <c r="G1566" s="2" t="s">
        <v>12</v>
      </c>
      <c r="H1566" s="3" t="s">
        <v>3297</v>
      </c>
      <c r="I1566" s="12" t="s">
        <v>3204</v>
      </c>
    </row>
    <row r="1567" spans="1:9" ht="60" x14ac:dyDescent="0.25">
      <c r="A1567" s="2">
        <v>1564</v>
      </c>
      <c r="B1567" s="3" t="s">
        <v>3294</v>
      </c>
      <c r="C1567" s="3" t="s">
        <v>4108</v>
      </c>
      <c r="D1567" s="3" t="s">
        <v>4108</v>
      </c>
      <c r="E1567" s="2">
        <v>2020</v>
      </c>
      <c r="F1567" s="3" t="s">
        <v>3299</v>
      </c>
      <c r="G1567" s="2" t="s">
        <v>12</v>
      </c>
      <c r="H1567" s="3" t="s">
        <v>3297</v>
      </c>
      <c r="I1567" s="12" t="s">
        <v>3204</v>
      </c>
    </row>
    <row r="1568" spans="1:9" ht="45" x14ac:dyDescent="0.25">
      <c r="A1568" s="2">
        <v>1565</v>
      </c>
      <c r="B1568" s="3" t="s">
        <v>3294</v>
      </c>
      <c r="C1568" s="3" t="s">
        <v>4109</v>
      </c>
      <c r="D1568" s="3" t="s">
        <v>4109</v>
      </c>
      <c r="E1568" s="2">
        <v>2020</v>
      </c>
      <c r="F1568" s="3" t="s">
        <v>3299</v>
      </c>
      <c r="G1568" s="2" t="s">
        <v>12</v>
      </c>
      <c r="H1568" s="3" t="s">
        <v>3297</v>
      </c>
      <c r="I1568" s="12" t="s">
        <v>3204</v>
      </c>
    </row>
    <row r="1569" spans="1:9" ht="45" x14ac:dyDescent="0.25">
      <c r="A1569" s="2">
        <v>1566</v>
      </c>
      <c r="B1569" s="3" t="s">
        <v>3294</v>
      </c>
      <c r="C1569" s="3" t="s">
        <v>4110</v>
      </c>
      <c r="D1569" s="3" t="s">
        <v>4110</v>
      </c>
      <c r="E1569" s="2">
        <v>2020</v>
      </c>
      <c r="F1569" s="3" t="s">
        <v>3299</v>
      </c>
      <c r="G1569" s="2" t="s">
        <v>12</v>
      </c>
      <c r="H1569" s="3" t="s">
        <v>3297</v>
      </c>
      <c r="I1569" s="12" t="s">
        <v>3204</v>
      </c>
    </row>
    <row r="1570" spans="1:9" ht="45" x14ac:dyDescent="0.25">
      <c r="A1570" s="2">
        <v>1567</v>
      </c>
      <c r="B1570" s="3" t="s">
        <v>3294</v>
      </c>
      <c r="C1570" s="3" t="s">
        <v>4111</v>
      </c>
      <c r="D1570" s="3" t="s">
        <v>4111</v>
      </c>
      <c r="E1570" s="2">
        <v>2020</v>
      </c>
      <c r="F1570" s="3" t="s">
        <v>3299</v>
      </c>
      <c r="G1570" s="2" t="s">
        <v>12</v>
      </c>
      <c r="H1570" s="3" t="s">
        <v>3297</v>
      </c>
      <c r="I1570" s="12" t="s">
        <v>3204</v>
      </c>
    </row>
    <row r="1571" spans="1:9" ht="45" x14ac:dyDescent="0.25">
      <c r="A1571" s="2">
        <v>1568</v>
      </c>
      <c r="B1571" s="3" t="s">
        <v>3294</v>
      </c>
      <c r="C1571" s="3" t="s">
        <v>4112</v>
      </c>
      <c r="D1571" s="3" t="s">
        <v>4112</v>
      </c>
      <c r="E1571" s="2">
        <v>2020</v>
      </c>
      <c r="F1571" s="3" t="s">
        <v>3299</v>
      </c>
      <c r="G1571" s="2" t="s">
        <v>12</v>
      </c>
      <c r="H1571" s="3" t="s">
        <v>3297</v>
      </c>
      <c r="I1571" s="12" t="s">
        <v>3204</v>
      </c>
    </row>
    <row r="1572" spans="1:9" ht="45" x14ac:dyDescent="0.25">
      <c r="A1572" s="2">
        <v>1569</v>
      </c>
      <c r="B1572" s="3" t="s">
        <v>3294</v>
      </c>
      <c r="C1572" s="3" t="s">
        <v>4113</v>
      </c>
      <c r="D1572" s="3" t="s">
        <v>4113</v>
      </c>
      <c r="E1572" s="2">
        <v>2020</v>
      </c>
      <c r="F1572" s="3" t="s">
        <v>3299</v>
      </c>
      <c r="G1572" s="2" t="s">
        <v>12</v>
      </c>
      <c r="H1572" s="3" t="s">
        <v>3297</v>
      </c>
      <c r="I1572" s="12" t="s">
        <v>3204</v>
      </c>
    </row>
    <row r="1573" spans="1:9" ht="60" x14ac:dyDescent="0.25">
      <c r="A1573" s="2">
        <v>1570</v>
      </c>
      <c r="B1573" s="3" t="s">
        <v>3294</v>
      </c>
      <c r="C1573" s="3" t="s">
        <v>4114</v>
      </c>
      <c r="D1573" s="3" t="s">
        <v>4114</v>
      </c>
      <c r="E1573" s="2">
        <v>2020</v>
      </c>
      <c r="F1573" s="3" t="s">
        <v>3299</v>
      </c>
      <c r="G1573" s="2" t="s">
        <v>12</v>
      </c>
      <c r="H1573" s="3" t="s">
        <v>3297</v>
      </c>
      <c r="I1573" s="12" t="s">
        <v>3204</v>
      </c>
    </row>
    <row r="1574" spans="1:9" ht="45" x14ac:dyDescent="0.25">
      <c r="A1574" s="2">
        <v>1571</v>
      </c>
      <c r="B1574" s="3" t="s">
        <v>3300</v>
      </c>
      <c r="C1574" s="3" t="s">
        <v>4115</v>
      </c>
      <c r="D1574" s="3" t="s">
        <v>4115</v>
      </c>
      <c r="E1574" s="2">
        <v>2021</v>
      </c>
      <c r="F1574" s="3" t="s">
        <v>4116</v>
      </c>
      <c r="G1574" s="2" t="s">
        <v>12</v>
      </c>
      <c r="H1574" s="3" t="s">
        <v>3303</v>
      </c>
      <c r="I1574" s="12" t="s">
        <v>3204</v>
      </c>
    </row>
    <row r="1575" spans="1:9" ht="60" x14ac:dyDescent="0.25">
      <c r="A1575" s="2">
        <v>1572</v>
      </c>
      <c r="B1575" s="3" t="s">
        <v>3300</v>
      </c>
      <c r="C1575" s="3" t="s">
        <v>4117</v>
      </c>
      <c r="D1575" s="3" t="s">
        <v>4117</v>
      </c>
      <c r="E1575" s="2">
        <v>2021</v>
      </c>
      <c r="F1575" s="3" t="s">
        <v>3302</v>
      </c>
      <c r="G1575" s="2" t="s">
        <v>12</v>
      </c>
      <c r="H1575" s="3" t="s">
        <v>3303</v>
      </c>
      <c r="I1575" s="12" t="s">
        <v>3204</v>
      </c>
    </row>
    <row r="1576" spans="1:9" ht="90" x14ac:dyDescent="0.25">
      <c r="A1576" s="2">
        <v>1573</v>
      </c>
      <c r="B1576" s="3" t="s">
        <v>3300</v>
      </c>
      <c r="C1576" s="3" t="s">
        <v>4118</v>
      </c>
      <c r="D1576" s="3" t="s">
        <v>4118</v>
      </c>
      <c r="E1576" s="2">
        <v>2021</v>
      </c>
      <c r="F1576" s="3" t="s">
        <v>3305</v>
      </c>
      <c r="G1576" s="2" t="s">
        <v>12</v>
      </c>
      <c r="H1576" s="3" t="s">
        <v>3306</v>
      </c>
      <c r="I1576" s="12" t="s">
        <v>3204</v>
      </c>
    </row>
    <row r="1577" spans="1:9" ht="75" x14ac:dyDescent="0.25">
      <c r="A1577" s="2">
        <v>1574</v>
      </c>
      <c r="B1577" s="3" t="s">
        <v>3300</v>
      </c>
      <c r="C1577" s="3" t="s">
        <v>4119</v>
      </c>
      <c r="D1577" s="3" t="s">
        <v>4119</v>
      </c>
      <c r="E1577" s="2">
        <v>2021</v>
      </c>
      <c r="F1577" s="3" t="s">
        <v>3308</v>
      </c>
      <c r="G1577" s="2" t="s">
        <v>12</v>
      </c>
      <c r="H1577" s="3" t="s">
        <v>3309</v>
      </c>
      <c r="I1577" s="12" t="s">
        <v>3204</v>
      </c>
    </row>
    <row r="1578" spans="1:9" ht="75" x14ac:dyDescent="0.25">
      <c r="A1578" s="2">
        <v>1575</v>
      </c>
      <c r="B1578" s="3" t="s">
        <v>3316</v>
      </c>
      <c r="C1578" s="3" t="s">
        <v>61</v>
      </c>
      <c r="D1578" s="3" t="s">
        <v>61</v>
      </c>
      <c r="E1578" s="2">
        <v>2019</v>
      </c>
      <c r="F1578" s="3" t="s">
        <v>3318</v>
      </c>
      <c r="G1578" s="2" t="s">
        <v>12</v>
      </c>
      <c r="H1578" s="3" t="s">
        <v>3319</v>
      </c>
      <c r="I1578" s="18" t="s">
        <v>63</v>
      </c>
    </row>
    <row r="1579" spans="1:9" ht="60" x14ac:dyDescent="0.25">
      <c r="A1579" s="2">
        <v>1576</v>
      </c>
      <c r="B1579" s="3" t="s">
        <v>3316</v>
      </c>
      <c r="C1579" s="3" t="s">
        <v>4120</v>
      </c>
      <c r="D1579" s="3" t="s">
        <v>4120</v>
      </c>
      <c r="E1579" s="2">
        <v>2018</v>
      </c>
      <c r="F1579" s="3" t="s">
        <v>3320</v>
      </c>
      <c r="G1579" s="2" t="s">
        <v>12</v>
      </c>
      <c r="H1579" s="3" t="s">
        <v>3319</v>
      </c>
      <c r="I1579" s="16" t="s">
        <v>4121</v>
      </c>
    </row>
    <row r="1580" spans="1:9" ht="30" x14ac:dyDescent="0.25">
      <c r="A1580" s="2">
        <v>1577</v>
      </c>
      <c r="B1580" s="3" t="s">
        <v>3316</v>
      </c>
      <c r="C1580" s="3" t="s">
        <v>416</v>
      </c>
      <c r="D1580" s="3" t="s">
        <v>416</v>
      </c>
      <c r="E1580" s="2">
        <v>2019</v>
      </c>
      <c r="F1580" s="3" t="s">
        <v>3322</v>
      </c>
      <c r="G1580" s="2" t="s">
        <v>12</v>
      </c>
      <c r="H1580" s="3" t="s">
        <v>72</v>
      </c>
      <c r="I1580" s="12" t="s">
        <v>4122</v>
      </c>
    </row>
    <row r="1581" spans="1:9" ht="30" x14ac:dyDescent="0.25">
      <c r="A1581" s="2">
        <v>1578</v>
      </c>
      <c r="B1581" s="3" t="s">
        <v>3316</v>
      </c>
      <c r="C1581" s="3" t="s">
        <v>4123</v>
      </c>
      <c r="D1581" s="3" t="s">
        <v>4123</v>
      </c>
      <c r="E1581" s="2">
        <v>2018</v>
      </c>
      <c r="F1581" s="3" t="s">
        <v>3324</v>
      </c>
      <c r="G1581" s="2" t="s">
        <v>12</v>
      </c>
      <c r="H1581" s="3" t="s">
        <v>72</v>
      </c>
      <c r="I1581" s="16" t="s">
        <v>4124</v>
      </c>
    </row>
    <row r="1582" spans="1:9" ht="45" x14ac:dyDescent="0.25">
      <c r="A1582" s="2">
        <v>1579</v>
      </c>
      <c r="B1582" s="3" t="s">
        <v>3352</v>
      </c>
      <c r="C1582" s="3" t="s">
        <v>4125</v>
      </c>
      <c r="D1582" s="3" t="s">
        <v>4125</v>
      </c>
      <c r="E1582" s="2">
        <v>2018</v>
      </c>
      <c r="F1582" s="3" t="s">
        <v>4126</v>
      </c>
      <c r="G1582" s="2" t="s">
        <v>12</v>
      </c>
      <c r="H1582" s="3" t="s">
        <v>3328</v>
      </c>
      <c r="I1582" s="15" t="s">
        <v>3204</v>
      </c>
    </row>
    <row r="1583" spans="1:9" ht="90" x14ac:dyDescent="0.25">
      <c r="A1583" s="2">
        <v>1580</v>
      </c>
      <c r="B1583" s="3" t="s">
        <v>3352</v>
      </c>
      <c r="C1583" s="3" t="s">
        <v>4127</v>
      </c>
      <c r="D1583" s="3" t="s">
        <v>4127</v>
      </c>
      <c r="E1583" s="2">
        <v>2018</v>
      </c>
      <c r="F1583" s="3" t="s">
        <v>4128</v>
      </c>
      <c r="G1583" s="2" t="s">
        <v>12</v>
      </c>
      <c r="H1583" s="3" t="s">
        <v>3328</v>
      </c>
      <c r="I1583" s="15" t="s">
        <v>3204</v>
      </c>
    </row>
    <row r="1584" spans="1:9" ht="60" x14ac:dyDescent="0.25">
      <c r="A1584" s="2">
        <v>1581</v>
      </c>
      <c r="B1584" s="3" t="s">
        <v>3352</v>
      </c>
      <c r="C1584" s="3" t="s">
        <v>4129</v>
      </c>
      <c r="D1584" s="3" t="s">
        <v>4129</v>
      </c>
      <c r="E1584" s="2">
        <v>2018</v>
      </c>
      <c r="F1584" s="3" t="s">
        <v>4130</v>
      </c>
      <c r="G1584" s="2" t="s">
        <v>12</v>
      </c>
      <c r="H1584" s="3" t="s">
        <v>3328</v>
      </c>
      <c r="I1584" s="15" t="s">
        <v>3204</v>
      </c>
    </row>
    <row r="1585" spans="1:9" ht="60" x14ac:dyDescent="0.25">
      <c r="A1585" s="2">
        <v>1582</v>
      </c>
      <c r="B1585" s="3" t="s">
        <v>3325</v>
      </c>
      <c r="C1585" s="3" t="s">
        <v>3326</v>
      </c>
      <c r="D1585" s="3" t="s">
        <v>3326</v>
      </c>
      <c r="E1585" s="2">
        <v>2019</v>
      </c>
      <c r="F1585" s="3" t="s">
        <v>3201</v>
      </c>
      <c r="G1585" s="2" t="s">
        <v>12</v>
      </c>
      <c r="H1585" s="3" t="s">
        <v>3328</v>
      </c>
      <c r="I1585" s="12" t="s">
        <v>3204</v>
      </c>
    </row>
    <row r="1586" spans="1:9" ht="60" x14ac:dyDescent="0.25">
      <c r="A1586" s="2">
        <v>1583</v>
      </c>
      <c r="B1586" s="3" t="s">
        <v>3325</v>
      </c>
      <c r="C1586" s="3" t="s">
        <v>3330</v>
      </c>
      <c r="D1586" s="3" t="s">
        <v>3330</v>
      </c>
      <c r="E1586" s="2">
        <v>2019</v>
      </c>
      <c r="F1586" s="3">
        <v>9780367139612</v>
      </c>
      <c r="G1586" s="2" t="s">
        <v>12</v>
      </c>
      <c r="H1586" s="3" t="s">
        <v>3331</v>
      </c>
      <c r="I1586" s="12" t="s">
        <v>3204</v>
      </c>
    </row>
    <row r="1587" spans="1:9" ht="45" x14ac:dyDescent="0.25">
      <c r="A1587" s="2">
        <v>1584</v>
      </c>
      <c r="B1587" s="3" t="s">
        <v>3325</v>
      </c>
      <c r="C1587" s="3" t="s">
        <v>4131</v>
      </c>
      <c r="D1587" s="3" t="s">
        <v>4131</v>
      </c>
      <c r="E1587" s="2">
        <v>2018</v>
      </c>
      <c r="F1587" s="3">
        <v>9789352137053</v>
      </c>
      <c r="G1587" s="2" t="s">
        <v>12</v>
      </c>
      <c r="H1587" s="3" t="s">
        <v>3334</v>
      </c>
      <c r="I1587" s="16" t="s">
        <v>3335</v>
      </c>
    </row>
    <row r="1588" spans="1:9" ht="75" x14ac:dyDescent="0.25">
      <c r="A1588" s="2">
        <v>1585</v>
      </c>
      <c r="B1588" s="3" t="s">
        <v>3382</v>
      </c>
      <c r="C1588" s="3" t="s">
        <v>4132</v>
      </c>
      <c r="D1588" s="3" t="s">
        <v>4132</v>
      </c>
      <c r="E1588" s="2">
        <v>2019</v>
      </c>
      <c r="F1588" s="3" t="s">
        <v>3201</v>
      </c>
      <c r="G1588" s="2" t="s">
        <v>12</v>
      </c>
      <c r="H1588" s="3" t="s">
        <v>72</v>
      </c>
      <c r="I1588" s="12" t="s">
        <v>3204</v>
      </c>
    </row>
    <row r="1589" spans="1:9" ht="75" x14ac:dyDescent="0.25">
      <c r="A1589" s="2">
        <v>1586</v>
      </c>
      <c r="B1589" s="3" t="s">
        <v>3382</v>
      </c>
      <c r="C1589" s="3" t="s">
        <v>4133</v>
      </c>
      <c r="D1589" s="3" t="s">
        <v>4133</v>
      </c>
      <c r="E1589" s="2">
        <v>2019</v>
      </c>
      <c r="F1589" s="3" t="s">
        <v>3201</v>
      </c>
      <c r="G1589" s="2" t="s">
        <v>12</v>
      </c>
      <c r="H1589" s="3" t="s">
        <v>72</v>
      </c>
      <c r="I1589" s="12" t="s">
        <v>3204</v>
      </c>
    </row>
    <row r="1590" spans="1:9" ht="75" x14ac:dyDescent="0.25">
      <c r="A1590" s="2">
        <v>1587</v>
      </c>
      <c r="B1590" s="3" t="s">
        <v>3382</v>
      </c>
      <c r="C1590" s="3" t="s">
        <v>4134</v>
      </c>
      <c r="D1590" s="3" t="s">
        <v>4134</v>
      </c>
      <c r="E1590" s="2">
        <v>2019</v>
      </c>
      <c r="F1590" s="3" t="s">
        <v>3201</v>
      </c>
      <c r="G1590" s="2" t="s">
        <v>12</v>
      </c>
      <c r="H1590" s="3" t="s">
        <v>3260</v>
      </c>
      <c r="I1590" s="15" t="s">
        <v>3204</v>
      </c>
    </row>
    <row r="1591" spans="1:9" ht="51" x14ac:dyDescent="0.25">
      <c r="A1591" s="2">
        <v>1588</v>
      </c>
      <c r="B1591" s="3" t="s">
        <v>3325</v>
      </c>
      <c r="C1591" s="3" t="s">
        <v>3336</v>
      </c>
      <c r="D1591" s="3" t="s">
        <v>3336</v>
      </c>
      <c r="E1591" s="2">
        <v>2019</v>
      </c>
      <c r="F1591" s="3">
        <v>9789352138845</v>
      </c>
      <c r="G1591" s="2" t="s">
        <v>12</v>
      </c>
      <c r="H1591" s="3" t="s">
        <v>3334</v>
      </c>
      <c r="I1591" s="16" t="s">
        <v>3364</v>
      </c>
    </row>
    <row r="1592" spans="1:9" ht="90" x14ac:dyDescent="0.25">
      <c r="A1592" s="2">
        <v>1589</v>
      </c>
      <c r="B1592" s="3" t="s">
        <v>3337</v>
      </c>
      <c r="C1592" s="3" t="s">
        <v>4135</v>
      </c>
      <c r="D1592" s="3" t="s">
        <v>4135</v>
      </c>
      <c r="E1592" s="2">
        <v>2019</v>
      </c>
      <c r="F1592" s="3" t="s">
        <v>3346</v>
      </c>
      <c r="G1592" s="2" t="s">
        <v>12</v>
      </c>
      <c r="H1592" s="3" t="s">
        <v>3328</v>
      </c>
      <c r="I1592" s="16" t="s">
        <v>4136</v>
      </c>
    </row>
    <row r="1593" spans="1:9" ht="60" x14ac:dyDescent="0.25">
      <c r="A1593" s="2">
        <v>1590</v>
      </c>
      <c r="B1593" s="3" t="s">
        <v>3337</v>
      </c>
      <c r="C1593" s="3" t="s">
        <v>4137</v>
      </c>
      <c r="D1593" s="3" t="s">
        <v>4137</v>
      </c>
      <c r="E1593" s="2">
        <v>2019</v>
      </c>
      <c r="F1593" s="3" t="s">
        <v>3346</v>
      </c>
      <c r="G1593" s="2" t="s">
        <v>12</v>
      </c>
      <c r="H1593" s="3" t="s">
        <v>3328</v>
      </c>
      <c r="I1593" s="16" t="s">
        <v>4138</v>
      </c>
    </row>
    <row r="1594" spans="1:9" ht="60" x14ac:dyDescent="0.25">
      <c r="A1594" s="2">
        <v>1591</v>
      </c>
      <c r="B1594" s="3" t="s">
        <v>3337</v>
      </c>
      <c r="C1594" s="3" t="s">
        <v>4139</v>
      </c>
      <c r="D1594" s="3" t="s">
        <v>4139</v>
      </c>
      <c r="E1594" s="2">
        <v>2019</v>
      </c>
      <c r="F1594" s="3" t="s">
        <v>3346</v>
      </c>
      <c r="G1594" s="2" t="s">
        <v>12</v>
      </c>
      <c r="H1594" s="3" t="s">
        <v>3328</v>
      </c>
      <c r="I1594" s="16" t="s">
        <v>4140</v>
      </c>
    </row>
    <row r="1595" spans="1:9" ht="75" x14ac:dyDescent="0.25">
      <c r="A1595" s="2">
        <v>1592</v>
      </c>
      <c r="B1595" s="3" t="s">
        <v>3337</v>
      </c>
      <c r="C1595" s="3" t="s">
        <v>4141</v>
      </c>
      <c r="D1595" s="3" t="s">
        <v>4141</v>
      </c>
      <c r="E1595" s="2">
        <v>2019</v>
      </c>
      <c r="F1595" s="3" t="s">
        <v>3346</v>
      </c>
      <c r="G1595" s="2" t="s">
        <v>12</v>
      </c>
      <c r="H1595" s="3" t="s">
        <v>3328</v>
      </c>
      <c r="I1595" s="16" t="s">
        <v>4142</v>
      </c>
    </row>
    <row r="1596" spans="1:9" ht="60" x14ac:dyDescent="0.25">
      <c r="A1596" s="2">
        <v>1593</v>
      </c>
      <c r="B1596" s="3" t="s">
        <v>3337</v>
      </c>
      <c r="C1596" s="3" t="s">
        <v>4143</v>
      </c>
      <c r="D1596" s="3" t="s">
        <v>4143</v>
      </c>
      <c r="E1596" s="2">
        <v>2019</v>
      </c>
      <c r="F1596" s="3" t="s">
        <v>3346</v>
      </c>
      <c r="G1596" s="2" t="s">
        <v>12</v>
      </c>
      <c r="H1596" s="3" t="s">
        <v>3328</v>
      </c>
      <c r="I1596" s="16" t="s">
        <v>4144</v>
      </c>
    </row>
    <row r="1597" spans="1:9" ht="30" x14ac:dyDescent="0.25">
      <c r="A1597" s="2">
        <v>1594</v>
      </c>
      <c r="B1597" s="3" t="s">
        <v>3337</v>
      </c>
      <c r="C1597" s="3" t="s">
        <v>4145</v>
      </c>
      <c r="D1597" s="3" t="s">
        <v>4145</v>
      </c>
      <c r="E1597" s="2">
        <v>2019</v>
      </c>
      <c r="F1597" s="3" t="s">
        <v>3339</v>
      </c>
      <c r="G1597" s="2" t="s">
        <v>12</v>
      </c>
      <c r="H1597" s="3" t="s">
        <v>3340</v>
      </c>
      <c r="I1597" s="16" t="s">
        <v>4146</v>
      </c>
    </row>
    <row r="1598" spans="1:9" ht="75" x14ac:dyDescent="0.25">
      <c r="A1598" s="2">
        <v>1595</v>
      </c>
      <c r="B1598" s="3" t="s">
        <v>4147</v>
      </c>
      <c r="C1598" s="3" t="s">
        <v>4148</v>
      </c>
      <c r="D1598" s="3" t="s">
        <v>4148</v>
      </c>
      <c r="E1598" s="2">
        <v>2019</v>
      </c>
      <c r="F1598" s="3" t="s">
        <v>3201</v>
      </c>
      <c r="G1598" s="2" t="s">
        <v>12</v>
      </c>
      <c r="H1598" s="3" t="s">
        <v>72</v>
      </c>
      <c r="I1598" s="12" t="s">
        <v>3204</v>
      </c>
    </row>
    <row r="1599" spans="1:9" ht="30" x14ac:dyDescent="0.25">
      <c r="A1599" s="2">
        <v>1596</v>
      </c>
      <c r="B1599" s="3" t="s">
        <v>4147</v>
      </c>
      <c r="C1599" s="3" t="s">
        <v>4149</v>
      </c>
      <c r="D1599" s="3" t="s">
        <v>4149</v>
      </c>
      <c r="E1599" s="2">
        <v>2019</v>
      </c>
      <c r="F1599" s="3" t="s">
        <v>3201</v>
      </c>
      <c r="G1599" s="2" t="s">
        <v>12</v>
      </c>
      <c r="H1599" s="3" t="s">
        <v>72</v>
      </c>
      <c r="I1599" s="12" t="s">
        <v>3204</v>
      </c>
    </row>
    <row r="1600" spans="1:9" ht="60" x14ac:dyDescent="0.25">
      <c r="A1600" s="2">
        <v>1597</v>
      </c>
      <c r="B1600" s="3" t="s">
        <v>4147</v>
      </c>
      <c r="C1600" s="3" t="s">
        <v>4150</v>
      </c>
      <c r="D1600" s="3" t="s">
        <v>4150</v>
      </c>
      <c r="E1600" s="2">
        <v>2019</v>
      </c>
      <c r="F1600" s="3" t="s">
        <v>3201</v>
      </c>
      <c r="G1600" s="2" t="s">
        <v>12</v>
      </c>
      <c r="H1600" s="3" t="s">
        <v>277</v>
      </c>
      <c r="I1600" s="12" t="s">
        <v>3204</v>
      </c>
    </row>
    <row r="1601" spans="1:9" ht="60" x14ac:dyDescent="0.25">
      <c r="A1601" s="2">
        <v>1598</v>
      </c>
      <c r="B1601" s="3" t="s">
        <v>3341</v>
      </c>
      <c r="C1601" s="3" t="s">
        <v>4151</v>
      </c>
      <c r="D1601" s="3" t="s">
        <v>4151</v>
      </c>
      <c r="E1601" s="2">
        <v>2019</v>
      </c>
      <c r="F1601" s="3" t="s">
        <v>3201</v>
      </c>
      <c r="G1601" s="2" t="s">
        <v>12</v>
      </c>
      <c r="H1601" s="3" t="s">
        <v>4152</v>
      </c>
      <c r="I1601" s="12" t="s">
        <v>3204</v>
      </c>
    </row>
    <row r="1602" spans="1:9" ht="60" x14ac:dyDescent="0.25">
      <c r="A1602" s="2">
        <v>1599</v>
      </c>
      <c r="B1602" s="3" t="s">
        <v>3341</v>
      </c>
      <c r="C1602" s="3" t="s">
        <v>4153</v>
      </c>
      <c r="D1602" s="3" t="s">
        <v>4153</v>
      </c>
      <c r="E1602" s="2">
        <v>2019</v>
      </c>
      <c r="F1602" s="3" t="s">
        <v>3201</v>
      </c>
      <c r="G1602" s="2" t="s">
        <v>12</v>
      </c>
      <c r="H1602" s="3" t="s">
        <v>4152</v>
      </c>
      <c r="I1602" s="12" t="s">
        <v>3204</v>
      </c>
    </row>
    <row r="1603" spans="1:9" ht="45" x14ac:dyDescent="0.25">
      <c r="A1603" s="2">
        <v>1600</v>
      </c>
      <c r="B1603" s="3" t="s">
        <v>3341</v>
      </c>
      <c r="C1603" s="3" t="s">
        <v>4154</v>
      </c>
      <c r="D1603" s="3" t="s">
        <v>4154</v>
      </c>
      <c r="E1603" s="2">
        <v>2019</v>
      </c>
      <c r="F1603" s="3" t="s">
        <v>3201</v>
      </c>
      <c r="G1603" s="2" t="s">
        <v>12</v>
      </c>
      <c r="H1603" s="3" t="s">
        <v>4152</v>
      </c>
      <c r="I1603" s="12" t="s">
        <v>3204</v>
      </c>
    </row>
    <row r="1604" spans="1:9" ht="75" x14ac:dyDescent="0.25">
      <c r="A1604" s="2">
        <v>1601</v>
      </c>
      <c r="B1604" s="3" t="s">
        <v>3341</v>
      </c>
      <c r="C1604" s="3" t="s">
        <v>4155</v>
      </c>
      <c r="D1604" s="3" t="s">
        <v>4155</v>
      </c>
      <c r="E1604" s="2">
        <v>2019</v>
      </c>
      <c r="F1604" s="3" t="s">
        <v>3201</v>
      </c>
      <c r="G1604" s="2" t="s">
        <v>12</v>
      </c>
      <c r="H1604" s="3" t="s">
        <v>4152</v>
      </c>
      <c r="I1604" s="12" t="s">
        <v>3204</v>
      </c>
    </row>
    <row r="1605" spans="1:9" ht="75" x14ac:dyDescent="0.25">
      <c r="A1605" s="2">
        <v>1602</v>
      </c>
      <c r="B1605" s="3" t="s">
        <v>3341</v>
      </c>
      <c r="C1605" s="3" t="s">
        <v>3345</v>
      </c>
      <c r="D1605" s="3" t="s">
        <v>3345</v>
      </c>
      <c r="E1605" s="2">
        <v>2019</v>
      </c>
      <c r="F1605" s="3" t="s">
        <v>3201</v>
      </c>
      <c r="G1605" s="2" t="s">
        <v>12</v>
      </c>
      <c r="H1605" s="3" t="s">
        <v>3328</v>
      </c>
      <c r="I1605" s="12" t="s">
        <v>3204</v>
      </c>
    </row>
    <row r="1606" spans="1:9" ht="90" x14ac:dyDescent="0.25">
      <c r="A1606" s="2">
        <v>1603</v>
      </c>
      <c r="B1606" s="3" t="s">
        <v>3341</v>
      </c>
      <c r="C1606" s="3" t="s">
        <v>4156</v>
      </c>
      <c r="D1606" s="3" t="s">
        <v>4156</v>
      </c>
      <c r="E1606" s="2">
        <v>2019</v>
      </c>
      <c r="F1606" s="3" t="s">
        <v>3201</v>
      </c>
      <c r="G1606" s="2" t="s">
        <v>12</v>
      </c>
      <c r="H1606" s="3" t="s">
        <v>3328</v>
      </c>
      <c r="I1606" s="12" t="s">
        <v>3204</v>
      </c>
    </row>
    <row r="1607" spans="1:9" ht="75" x14ac:dyDescent="0.25">
      <c r="A1607" s="2">
        <v>1604</v>
      </c>
      <c r="B1607" s="3" t="s">
        <v>3341</v>
      </c>
      <c r="C1607" s="3" t="s">
        <v>4157</v>
      </c>
      <c r="D1607" s="3" t="s">
        <v>4157</v>
      </c>
      <c r="E1607" s="2">
        <v>2019</v>
      </c>
      <c r="F1607" s="3" t="s">
        <v>3201</v>
      </c>
      <c r="G1607" s="2" t="s">
        <v>12</v>
      </c>
      <c r="H1607" s="3" t="s">
        <v>3328</v>
      </c>
      <c r="I1607" s="12" t="s">
        <v>3204</v>
      </c>
    </row>
    <row r="1608" spans="1:9" ht="75" x14ac:dyDescent="0.25">
      <c r="A1608" s="2">
        <v>1605</v>
      </c>
      <c r="B1608" s="3" t="s">
        <v>3341</v>
      </c>
      <c r="C1608" s="3" t="s">
        <v>4158</v>
      </c>
      <c r="D1608" s="3" t="s">
        <v>4158</v>
      </c>
      <c r="E1608" s="2">
        <v>2019</v>
      </c>
      <c r="F1608" s="3" t="s">
        <v>3201</v>
      </c>
      <c r="G1608" s="2" t="s">
        <v>12</v>
      </c>
      <c r="H1608" s="3" t="s">
        <v>3328</v>
      </c>
      <c r="I1608" s="12" t="s">
        <v>3204</v>
      </c>
    </row>
    <row r="1609" spans="1:9" ht="90" x14ac:dyDescent="0.25">
      <c r="A1609" s="2">
        <v>1606</v>
      </c>
      <c r="B1609" s="3" t="s">
        <v>3341</v>
      </c>
      <c r="C1609" s="3" t="s">
        <v>4159</v>
      </c>
      <c r="D1609" s="3" t="s">
        <v>4159</v>
      </c>
      <c r="E1609" s="2">
        <v>2019</v>
      </c>
      <c r="F1609" s="3" t="s">
        <v>3201</v>
      </c>
      <c r="G1609" s="2" t="s">
        <v>12</v>
      </c>
      <c r="H1609" s="3" t="s">
        <v>3328</v>
      </c>
      <c r="I1609" s="12" t="s">
        <v>3204</v>
      </c>
    </row>
    <row r="1610" spans="1:9" ht="45" x14ac:dyDescent="0.25">
      <c r="A1610" s="2">
        <v>1607</v>
      </c>
      <c r="B1610" s="3" t="s">
        <v>3341</v>
      </c>
      <c r="C1610" s="3" t="s">
        <v>4160</v>
      </c>
      <c r="D1610" s="3" t="s">
        <v>4160</v>
      </c>
      <c r="E1610" s="2">
        <v>2019</v>
      </c>
      <c r="F1610" s="3" t="s">
        <v>3346</v>
      </c>
      <c r="G1610" s="2" t="s">
        <v>12</v>
      </c>
      <c r="H1610" s="3" t="s">
        <v>3347</v>
      </c>
      <c r="I1610" s="15" t="s">
        <v>3204</v>
      </c>
    </row>
    <row r="1611" spans="1:9" ht="75" x14ac:dyDescent="0.25">
      <c r="A1611" s="2">
        <v>1608</v>
      </c>
      <c r="B1611" s="3" t="s">
        <v>3337</v>
      </c>
      <c r="C1611" s="3" t="s">
        <v>4161</v>
      </c>
      <c r="D1611" s="3" t="s">
        <v>4161</v>
      </c>
      <c r="E1611" s="2">
        <v>2020</v>
      </c>
      <c r="F1611" s="3" t="s">
        <v>3348</v>
      </c>
      <c r="G1611" s="2" t="s">
        <v>12</v>
      </c>
      <c r="H1611" s="3" t="s">
        <v>3349</v>
      </c>
      <c r="I1611" s="12" t="s">
        <v>3204</v>
      </c>
    </row>
    <row r="1612" spans="1:9" ht="30" x14ac:dyDescent="0.25">
      <c r="A1612" s="2">
        <v>1609</v>
      </c>
      <c r="B1612" s="3" t="s">
        <v>3337</v>
      </c>
      <c r="C1612" s="3" t="s">
        <v>4145</v>
      </c>
      <c r="D1612" s="3" t="s">
        <v>4145</v>
      </c>
      <c r="E1612" s="2">
        <v>2019</v>
      </c>
      <c r="F1612" s="3" t="s">
        <v>3339</v>
      </c>
      <c r="G1612" s="2" t="s">
        <v>12</v>
      </c>
      <c r="H1612" s="3" t="s">
        <v>3351</v>
      </c>
      <c r="I1612" s="12" t="s">
        <v>3204</v>
      </c>
    </row>
    <row r="1613" spans="1:9" ht="75" x14ac:dyDescent="0.25">
      <c r="A1613" s="2">
        <v>1610</v>
      </c>
      <c r="B1613" s="3" t="s">
        <v>3352</v>
      </c>
      <c r="C1613" s="3" t="s">
        <v>4162</v>
      </c>
      <c r="D1613" s="3" t="s">
        <v>4162</v>
      </c>
      <c r="E1613" s="2">
        <v>2019</v>
      </c>
      <c r="F1613" s="3" t="s">
        <v>3354</v>
      </c>
      <c r="G1613" s="2" t="s">
        <v>12</v>
      </c>
      <c r="H1613" s="3" t="s">
        <v>3319</v>
      </c>
      <c r="I1613" s="12" t="s">
        <v>3204</v>
      </c>
    </row>
    <row r="1614" spans="1:9" ht="60" x14ac:dyDescent="0.25">
      <c r="A1614" s="2">
        <v>1611</v>
      </c>
      <c r="B1614" s="3" t="s">
        <v>3352</v>
      </c>
      <c r="C1614" s="3" t="s">
        <v>3330</v>
      </c>
      <c r="D1614" s="3" t="s">
        <v>3330</v>
      </c>
      <c r="E1614" s="2">
        <v>2020</v>
      </c>
      <c r="F1614" s="3" t="s">
        <v>3355</v>
      </c>
      <c r="G1614" s="2" t="s">
        <v>12</v>
      </c>
      <c r="H1614" s="3" t="s">
        <v>3356</v>
      </c>
      <c r="I1614" s="12" t="s">
        <v>3204</v>
      </c>
    </row>
    <row r="1615" spans="1:9" ht="60" x14ac:dyDescent="0.25">
      <c r="A1615" s="2">
        <v>1612</v>
      </c>
      <c r="B1615" s="3" t="s">
        <v>3352</v>
      </c>
      <c r="C1615" s="3" t="s">
        <v>4129</v>
      </c>
      <c r="D1615" s="3" t="s">
        <v>4129</v>
      </c>
      <c r="E1615" s="2">
        <v>2019</v>
      </c>
      <c r="F1615" s="3" t="s">
        <v>3358</v>
      </c>
      <c r="G1615" s="2" t="s">
        <v>12</v>
      </c>
      <c r="H1615" s="3" t="s">
        <v>3319</v>
      </c>
      <c r="I1615" s="15" t="s">
        <v>3204</v>
      </c>
    </row>
    <row r="1616" spans="1:9" ht="90" x14ac:dyDescent="0.25">
      <c r="A1616" s="2">
        <v>1613</v>
      </c>
      <c r="B1616" s="3" t="s">
        <v>3352</v>
      </c>
      <c r="C1616" s="3" t="s">
        <v>834</v>
      </c>
      <c r="D1616" s="3" t="s">
        <v>834</v>
      </c>
      <c r="E1616" s="2">
        <v>2019</v>
      </c>
      <c r="F1616" s="3" t="s">
        <v>3359</v>
      </c>
      <c r="G1616" s="2" t="s">
        <v>12</v>
      </c>
      <c r="H1616" s="3" t="s">
        <v>3319</v>
      </c>
      <c r="I1616" s="15" t="s">
        <v>3204</v>
      </c>
    </row>
    <row r="1617" spans="1:9" ht="45" x14ac:dyDescent="0.25">
      <c r="A1617" s="2">
        <v>1614</v>
      </c>
      <c r="B1617" s="3" t="s">
        <v>3352</v>
      </c>
      <c r="C1617" s="3" t="s">
        <v>3360</v>
      </c>
      <c r="D1617" s="3" t="s">
        <v>3360</v>
      </c>
      <c r="E1617" s="2">
        <v>2019</v>
      </c>
      <c r="F1617" s="3" t="s">
        <v>3361</v>
      </c>
      <c r="G1617" s="2" t="s">
        <v>12</v>
      </c>
      <c r="H1617" s="3" t="s">
        <v>3319</v>
      </c>
      <c r="I1617" s="15" t="s">
        <v>3204</v>
      </c>
    </row>
    <row r="1618" spans="1:9" ht="30" x14ac:dyDescent="0.25">
      <c r="A1618" s="2">
        <v>1615</v>
      </c>
      <c r="B1618" s="3" t="s">
        <v>3325</v>
      </c>
      <c r="C1618" s="3" t="s">
        <v>3348</v>
      </c>
      <c r="D1618" s="3" t="s">
        <v>3348</v>
      </c>
      <c r="E1618" s="2">
        <v>2020</v>
      </c>
      <c r="F1618" s="3" t="s">
        <v>3366</v>
      </c>
      <c r="G1618" s="2" t="s">
        <v>12</v>
      </c>
      <c r="H1618" s="3" t="s">
        <v>3328</v>
      </c>
      <c r="I1618" s="12" t="s">
        <v>3204</v>
      </c>
    </row>
    <row r="1619" spans="1:9" ht="45" x14ac:dyDescent="0.25">
      <c r="A1619" s="2">
        <v>1616</v>
      </c>
      <c r="B1619" s="3" t="s">
        <v>3325</v>
      </c>
      <c r="C1619" s="3" t="s">
        <v>3373</v>
      </c>
      <c r="D1619" s="3" t="s">
        <v>3373</v>
      </c>
      <c r="E1619" s="2">
        <v>2020</v>
      </c>
      <c r="F1619" s="3" t="s">
        <v>3374</v>
      </c>
      <c r="G1619" s="2" t="s">
        <v>12</v>
      </c>
      <c r="H1619" s="3" t="s">
        <v>3375</v>
      </c>
      <c r="I1619" s="12" t="s">
        <v>3204</v>
      </c>
    </row>
    <row r="1620" spans="1:9" ht="90" x14ac:dyDescent="0.25">
      <c r="A1620" s="2">
        <v>1617</v>
      </c>
      <c r="B1620" s="3" t="s">
        <v>3376</v>
      </c>
      <c r="C1620" s="3" t="s">
        <v>4163</v>
      </c>
      <c r="D1620" s="3" t="s">
        <v>4163</v>
      </c>
      <c r="E1620" s="2">
        <v>2020</v>
      </c>
      <c r="F1620" s="3" t="s">
        <v>3366</v>
      </c>
      <c r="G1620" s="2" t="s">
        <v>12</v>
      </c>
      <c r="H1620" s="3" t="s">
        <v>3378</v>
      </c>
      <c r="I1620" s="12" t="s">
        <v>3204</v>
      </c>
    </row>
    <row r="1621" spans="1:9" ht="45" x14ac:dyDescent="0.25">
      <c r="A1621" s="2">
        <v>1618</v>
      </c>
      <c r="B1621" s="3" t="s">
        <v>3376</v>
      </c>
      <c r="C1621" s="3" t="s">
        <v>4164</v>
      </c>
      <c r="D1621" s="3" t="s">
        <v>4164</v>
      </c>
      <c r="E1621" s="2">
        <v>2019</v>
      </c>
      <c r="F1621" s="3" t="s">
        <v>3380</v>
      </c>
      <c r="G1621" s="2" t="s">
        <v>12</v>
      </c>
      <c r="H1621" s="3" t="s">
        <v>3381</v>
      </c>
      <c r="I1621" s="12" t="s">
        <v>3204</v>
      </c>
    </row>
    <row r="1622" spans="1:9" ht="60" x14ac:dyDescent="0.25">
      <c r="A1622" s="2">
        <v>1619</v>
      </c>
      <c r="B1622" s="3" t="s">
        <v>4165</v>
      </c>
      <c r="C1622" s="3" t="s">
        <v>4166</v>
      </c>
      <c r="D1622" s="3" t="s">
        <v>4166</v>
      </c>
      <c r="E1622" s="2">
        <v>2020</v>
      </c>
      <c r="F1622" s="3">
        <v>18650929</v>
      </c>
      <c r="G1622" s="2" t="s">
        <v>12</v>
      </c>
      <c r="H1622" s="3" t="s">
        <v>3201</v>
      </c>
      <c r="I1622" s="12" t="s">
        <v>3204</v>
      </c>
    </row>
    <row r="1623" spans="1:9" ht="45" x14ac:dyDescent="0.25">
      <c r="A1623" s="2">
        <v>1620</v>
      </c>
      <c r="B1623" s="3" t="s">
        <v>4165</v>
      </c>
      <c r="C1623" s="3" t="s">
        <v>4167</v>
      </c>
      <c r="D1623" s="3" t="s">
        <v>4167</v>
      </c>
      <c r="E1623" s="2">
        <v>2020</v>
      </c>
      <c r="F1623" s="3">
        <v>18650929</v>
      </c>
      <c r="G1623" s="2" t="s">
        <v>12</v>
      </c>
      <c r="H1623" s="3" t="s">
        <v>3201</v>
      </c>
      <c r="I1623" s="12" t="s">
        <v>3204</v>
      </c>
    </row>
    <row r="1624" spans="1:9" ht="45" x14ac:dyDescent="0.25">
      <c r="A1624" s="2">
        <v>1621</v>
      </c>
      <c r="B1624" s="3" t="s">
        <v>4165</v>
      </c>
      <c r="C1624" s="3" t="s">
        <v>4168</v>
      </c>
      <c r="D1624" s="3" t="s">
        <v>4168</v>
      </c>
      <c r="E1624" s="2">
        <v>2020</v>
      </c>
      <c r="F1624" s="3">
        <v>18650929</v>
      </c>
      <c r="G1624" s="2" t="s">
        <v>12</v>
      </c>
      <c r="H1624" s="3" t="s">
        <v>3201</v>
      </c>
      <c r="I1624" s="12" t="s">
        <v>3204</v>
      </c>
    </row>
    <row r="1625" spans="1:9" ht="45" x14ac:dyDescent="0.25">
      <c r="A1625" s="2">
        <v>1622</v>
      </c>
      <c r="B1625" s="3" t="s">
        <v>4165</v>
      </c>
      <c r="C1625" s="3" t="s">
        <v>4169</v>
      </c>
      <c r="D1625" s="3" t="s">
        <v>4169</v>
      </c>
      <c r="E1625" s="2">
        <v>2020</v>
      </c>
      <c r="F1625" s="3" t="s">
        <v>4170</v>
      </c>
      <c r="G1625" s="2" t="s">
        <v>12</v>
      </c>
      <c r="H1625" s="3" t="s">
        <v>3260</v>
      </c>
      <c r="I1625" s="12" t="s">
        <v>3204</v>
      </c>
    </row>
    <row r="1626" spans="1:9" ht="60" x14ac:dyDescent="0.25">
      <c r="A1626" s="2">
        <v>1623</v>
      </c>
      <c r="B1626" s="3" t="s">
        <v>4165</v>
      </c>
      <c r="C1626" s="3" t="s">
        <v>4171</v>
      </c>
      <c r="D1626" s="3" t="s">
        <v>4171</v>
      </c>
      <c r="E1626" s="2">
        <v>2020</v>
      </c>
      <c r="F1626" s="3" t="s">
        <v>3201</v>
      </c>
      <c r="G1626" s="2" t="s">
        <v>12</v>
      </c>
      <c r="H1626" s="3" t="s">
        <v>3201</v>
      </c>
      <c r="I1626" s="12" t="s">
        <v>3204</v>
      </c>
    </row>
    <row r="1627" spans="1:9" ht="45" x14ac:dyDescent="0.25">
      <c r="A1627" s="2">
        <v>1624</v>
      </c>
      <c r="B1627" s="3" t="s">
        <v>4165</v>
      </c>
      <c r="C1627" s="3" t="s">
        <v>4172</v>
      </c>
      <c r="D1627" s="3" t="s">
        <v>4172</v>
      </c>
      <c r="E1627" s="2">
        <v>2020</v>
      </c>
      <c r="F1627" s="3" t="s">
        <v>3201</v>
      </c>
      <c r="G1627" s="2" t="s">
        <v>12</v>
      </c>
      <c r="H1627" s="3" t="s">
        <v>3201</v>
      </c>
      <c r="I1627" s="12" t="s">
        <v>3204</v>
      </c>
    </row>
    <row r="1628" spans="1:9" ht="75" x14ac:dyDescent="0.25">
      <c r="A1628" s="2">
        <v>1625</v>
      </c>
      <c r="B1628" s="3" t="s">
        <v>3382</v>
      </c>
      <c r="C1628" s="3" t="s">
        <v>4134</v>
      </c>
      <c r="D1628" s="3" t="s">
        <v>4134</v>
      </c>
      <c r="E1628" s="2">
        <v>2019</v>
      </c>
      <c r="F1628" s="3" t="s">
        <v>3201</v>
      </c>
      <c r="G1628" s="2" t="s">
        <v>12</v>
      </c>
      <c r="H1628" s="3" t="s">
        <v>4173</v>
      </c>
      <c r="I1628" s="12" t="s">
        <v>3204</v>
      </c>
    </row>
    <row r="1629" spans="1:9" ht="60" x14ac:dyDescent="0.25">
      <c r="A1629" s="2">
        <v>1626</v>
      </c>
      <c r="B1629" s="3" t="s">
        <v>3382</v>
      </c>
      <c r="C1629" s="3" t="s">
        <v>4174</v>
      </c>
      <c r="D1629" s="3" t="s">
        <v>4174</v>
      </c>
      <c r="E1629" s="2">
        <v>2020</v>
      </c>
      <c r="F1629" s="3">
        <v>19588687</v>
      </c>
      <c r="G1629" s="2" t="s">
        <v>12</v>
      </c>
      <c r="H1629" s="3" t="s">
        <v>72</v>
      </c>
      <c r="I1629" s="15" t="s">
        <v>3204</v>
      </c>
    </row>
    <row r="1630" spans="1:9" ht="75" x14ac:dyDescent="0.25">
      <c r="A1630" s="2">
        <v>1627</v>
      </c>
      <c r="B1630" s="3" t="s">
        <v>3382</v>
      </c>
      <c r="C1630" s="3" t="s">
        <v>4175</v>
      </c>
      <c r="D1630" s="3" t="s">
        <v>4175</v>
      </c>
      <c r="E1630" s="2">
        <v>2020</v>
      </c>
      <c r="F1630" s="3" t="s">
        <v>3201</v>
      </c>
      <c r="G1630" s="2" t="s">
        <v>12</v>
      </c>
      <c r="H1630" s="3" t="s">
        <v>4173</v>
      </c>
      <c r="I1630" s="12" t="s">
        <v>3204</v>
      </c>
    </row>
    <row r="1631" spans="1:9" ht="90" x14ac:dyDescent="0.25">
      <c r="A1631" s="2">
        <v>1628</v>
      </c>
      <c r="B1631" s="3" t="s">
        <v>3382</v>
      </c>
      <c r="C1631" s="3" t="s">
        <v>4176</v>
      </c>
      <c r="D1631" s="3" t="s">
        <v>4176</v>
      </c>
      <c r="E1631" s="2">
        <v>2020</v>
      </c>
      <c r="F1631" s="3" t="s">
        <v>3413</v>
      </c>
      <c r="G1631" s="2" t="s">
        <v>12</v>
      </c>
      <c r="H1631" s="3" t="s">
        <v>3201</v>
      </c>
      <c r="I1631" s="12" t="s">
        <v>3204</v>
      </c>
    </row>
    <row r="1632" spans="1:9" ht="75" x14ac:dyDescent="0.25">
      <c r="A1632" s="2">
        <v>1629</v>
      </c>
      <c r="B1632" s="3" t="s">
        <v>3382</v>
      </c>
      <c r="C1632" s="3" t="s">
        <v>4177</v>
      </c>
      <c r="D1632" s="3" t="s">
        <v>4177</v>
      </c>
      <c r="E1632" s="2">
        <v>2021</v>
      </c>
      <c r="F1632" s="3" t="s">
        <v>3201</v>
      </c>
      <c r="G1632" s="2" t="s">
        <v>12</v>
      </c>
      <c r="H1632" s="3" t="s">
        <v>3328</v>
      </c>
      <c r="I1632" s="12" t="s">
        <v>3204</v>
      </c>
    </row>
    <row r="1633" spans="1:9" ht="60" x14ac:dyDescent="0.25">
      <c r="A1633" s="2">
        <v>1630</v>
      </c>
      <c r="B1633" s="3" t="s">
        <v>3382</v>
      </c>
      <c r="C1633" s="3" t="s">
        <v>4178</v>
      </c>
      <c r="D1633" s="3" t="s">
        <v>4178</v>
      </c>
      <c r="E1633" s="2">
        <v>2021</v>
      </c>
      <c r="F1633" s="3" t="s">
        <v>3201</v>
      </c>
      <c r="G1633" s="2" t="s">
        <v>12</v>
      </c>
      <c r="H1633" s="3" t="s">
        <v>4179</v>
      </c>
      <c r="I1633" s="12" t="s">
        <v>3204</v>
      </c>
    </row>
    <row r="1634" spans="1:9" ht="60" x14ac:dyDescent="0.25">
      <c r="A1634" s="2">
        <v>1631</v>
      </c>
      <c r="B1634" s="3" t="s">
        <v>3382</v>
      </c>
      <c r="C1634" s="3" t="s">
        <v>4180</v>
      </c>
      <c r="D1634" s="3" t="s">
        <v>4180</v>
      </c>
      <c r="E1634" s="2">
        <v>2020</v>
      </c>
      <c r="F1634" s="3" t="s">
        <v>3201</v>
      </c>
      <c r="G1634" s="2" t="s">
        <v>12</v>
      </c>
      <c r="H1634" s="3" t="s">
        <v>277</v>
      </c>
      <c r="I1634" s="12" t="s">
        <v>3204</v>
      </c>
    </row>
    <row r="1635" spans="1:9" ht="45" x14ac:dyDescent="0.25">
      <c r="A1635" s="2">
        <v>1632</v>
      </c>
      <c r="B1635" s="3" t="s">
        <v>3392</v>
      </c>
      <c r="C1635" s="3" t="s">
        <v>4181</v>
      </c>
      <c r="D1635" s="3" t="s">
        <v>4181</v>
      </c>
      <c r="E1635" s="2">
        <v>2021</v>
      </c>
      <c r="F1635" s="3" t="s">
        <v>3201</v>
      </c>
      <c r="G1635" s="2" t="s">
        <v>12</v>
      </c>
      <c r="H1635" s="3" t="s">
        <v>3394</v>
      </c>
      <c r="I1635" s="15" t="s">
        <v>3204</v>
      </c>
    </row>
    <row r="1636" spans="1:9" ht="60" x14ac:dyDescent="0.25">
      <c r="A1636" s="2">
        <v>1633</v>
      </c>
      <c r="B1636" s="3" t="s">
        <v>3316</v>
      </c>
      <c r="C1636" s="3" t="s">
        <v>4182</v>
      </c>
      <c r="D1636" s="3" t="s">
        <v>4182</v>
      </c>
      <c r="E1636" s="2">
        <v>2021</v>
      </c>
      <c r="F1636" s="3" t="s">
        <v>3396</v>
      </c>
      <c r="G1636" s="2" t="s">
        <v>12</v>
      </c>
      <c r="H1636" s="3" t="s">
        <v>3328</v>
      </c>
      <c r="I1636" s="12" t="s">
        <v>3204</v>
      </c>
    </row>
    <row r="1637" spans="1:9" ht="60" x14ac:dyDescent="0.25">
      <c r="A1637" s="2">
        <v>1634</v>
      </c>
      <c r="B1637" s="3" t="s">
        <v>3316</v>
      </c>
      <c r="C1637" s="3" t="s">
        <v>4183</v>
      </c>
      <c r="D1637" s="3" t="s">
        <v>4183</v>
      </c>
      <c r="E1637" s="2">
        <v>2020</v>
      </c>
      <c r="F1637" s="3" t="s">
        <v>3398</v>
      </c>
      <c r="G1637" s="2" t="s">
        <v>12</v>
      </c>
      <c r="H1637" s="3" t="s">
        <v>3328</v>
      </c>
      <c r="I1637" s="12" t="s">
        <v>3204</v>
      </c>
    </row>
    <row r="1638" spans="1:9" ht="60" x14ac:dyDescent="0.25">
      <c r="A1638" s="2">
        <v>1635</v>
      </c>
      <c r="B1638" s="3" t="s">
        <v>3382</v>
      </c>
      <c r="C1638" s="3" t="s">
        <v>4184</v>
      </c>
      <c r="D1638" s="3" t="s">
        <v>4184</v>
      </c>
      <c r="E1638" s="2">
        <v>2021</v>
      </c>
      <c r="F1638" s="3" t="s">
        <v>3201</v>
      </c>
      <c r="G1638" s="2" t="s">
        <v>12</v>
      </c>
      <c r="H1638" s="3" t="s">
        <v>3328</v>
      </c>
      <c r="I1638" s="12" t="s">
        <v>3204</v>
      </c>
    </row>
    <row r="1639" spans="1:9" ht="60" x14ac:dyDescent="0.25">
      <c r="A1639" s="2">
        <v>1636</v>
      </c>
      <c r="B1639" s="3" t="s">
        <v>4165</v>
      </c>
      <c r="C1639" s="3" t="s">
        <v>4185</v>
      </c>
      <c r="D1639" s="3" t="s">
        <v>4185</v>
      </c>
      <c r="E1639" s="2">
        <v>2021</v>
      </c>
      <c r="F1639" s="3" t="s">
        <v>3201</v>
      </c>
      <c r="G1639" s="2" t="s">
        <v>12</v>
      </c>
      <c r="H1639" s="3" t="s">
        <v>277</v>
      </c>
      <c r="I1639" s="12" t="s">
        <v>4189</v>
      </c>
    </row>
    <row r="1640" spans="1:9" ht="45" x14ac:dyDescent="0.25">
      <c r="A1640" s="2">
        <v>1637</v>
      </c>
      <c r="B1640" s="3" t="s">
        <v>4165</v>
      </c>
      <c r="C1640" s="3" t="s">
        <v>4186</v>
      </c>
      <c r="D1640" s="3" t="s">
        <v>4186</v>
      </c>
      <c r="E1640" s="2">
        <v>2021</v>
      </c>
      <c r="F1640" s="3" t="s">
        <v>3201</v>
      </c>
      <c r="G1640" s="2" t="s">
        <v>12</v>
      </c>
      <c r="H1640" s="3" t="s">
        <v>277</v>
      </c>
      <c r="I1640" s="12" t="s">
        <v>4190</v>
      </c>
    </row>
    <row r="1641" spans="1:9" ht="90" x14ac:dyDescent="0.25">
      <c r="A1641" s="2">
        <v>1638</v>
      </c>
      <c r="B1641" s="3" t="s">
        <v>3352</v>
      </c>
      <c r="C1641" s="3" t="s">
        <v>4187</v>
      </c>
      <c r="D1641" s="3" t="s">
        <v>4187</v>
      </c>
      <c r="E1641" s="2">
        <v>2021</v>
      </c>
      <c r="F1641" s="3" t="s">
        <v>3407</v>
      </c>
      <c r="G1641" s="2" t="s">
        <v>12</v>
      </c>
      <c r="H1641" s="3" t="s">
        <v>48</v>
      </c>
      <c r="I1641" s="12" t="s">
        <v>4191</v>
      </c>
    </row>
    <row r="1642" spans="1:9" ht="60" x14ac:dyDescent="0.25">
      <c r="A1642" s="2">
        <v>1639</v>
      </c>
      <c r="B1642" s="3" t="s">
        <v>3352</v>
      </c>
      <c r="C1642" s="3" t="s">
        <v>4188</v>
      </c>
      <c r="D1642" s="3" t="s">
        <v>4188</v>
      </c>
      <c r="E1642" s="2">
        <v>2021</v>
      </c>
      <c r="F1642" s="3" t="s">
        <v>3407</v>
      </c>
      <c r="G1642" s="2" t="s">
        <v>12</v>
      </c>
      <c r="H1642" s="3" t="s">
        <v>3328</v>
      </c>
      <c r="I1642" s="12" t="s">
        <v>4192</v>
      </c>
    </row>
    <row r="1643" spans="1:9" ht="75" x14ac:dyDescent="0.25">
      <c r="A1643" s="2">
        <v>1640</v>
      </c>
      <c r="B1643" s="3" t="s">
        <v>3352</v>
      </c>
      <c r="C1643" s="3" t="s">
        <v>4193</v>
      </c>
      <c r="D1643" s="3" t="s">
        <v>4193</v>
      </c>
      <c r="E1643" s="2">
        <v>2021</v>
      </c>
      <c r="F1643" s="3" t="s">
        <v>3407</v>
      </c>
      <c r="G1643" s="2" t="s">
        <v>12</v>
      </c>
      <c r="H1643" s="3" t="s">
        <v>3328</v>
      </c>
      <c r="I1643" s="12" t="s">
        <v>4194</v>
      </c>
    </row>
    <row r="1644" spans="1:9" ht="90" x14ac:dyDescent="0.25">
      <c r="A1644" s="2">
        <v>1641</v>
      </c>
      <c r="B1644" s="3" t="s">
        <v>3352</v>
      </c>
      <c r="C1644" s="3" t="s">
        <v>4195</v>
      </c>
      <c r="D1644" s="3" t="s">
        <v>4195</v>
      </c>
      <c r="E1644" s="2">
        <v>2021</v>
      </c>
      <c r="F1644" s="3" t="s">
        <v>3407</v>
      </c>
      <c r="G1644" s="2" t="s">
        <v>12</v>
      </c>
      <c r="H1644" s="3" t="s">
        <v>3328</v>
      </c>
      <c r="I1644" s="12" t="s">
        <v>4196</v>
      </c>
    </row>
    <row r="1645" spans="1:9" ht="90" x14ac:dyDescent="0.25">
      <c r="A1645" s="2">
        <v>1642</v>
      </c>
      <c r="B1645" s="3" t="s">
        <v>3352</v>
      </c>
      <c r="C1645" s="3" t="s">
        <v>4197</v>
      </c>
      <c r="D1645" s="3" t="s">
        <v>4197</v>
      </c>
      <c r="E1645" s="2">
        <v>2021</v>
      </c>
      <c r="F1645" s="3" t="s">
        <v>3407</v>
      </c>
      <c r="G1645" s="2" t="s">
        <v>12</v>
      </c>
      <c r="H1645" s="3" t="s">
        <v>3328</v>
      </c>
      <c r="I1645" s="12" t="s">
        <v>4198</v>
      </c>
    </row>
    <row r="1646" spans="1:9" ht="75" x14ac:dyDescent="0.25">
      <c r="A1646" s="2">
        <v>1643</v>
      </c>
      <c r="B1646" s="3" t="s">
        <v>3352</v>
      </c>
      <c r="C1646" s="3" t="s">
        <v>4162</v>
      </c>
      <c r="D1646" s="3" t="s">
        <v>4162</v>
      </c>
      <c r="E1646" s="2">
        <v>2021</v>
      </c>
      <c r="F1646" s="3" t="s">
        <v>3407</v>
      </c>
      <c r="G1646" s="2" t="s">
        <v>12</v>
      </c>
      <c r="H1646" s="3" t="s">
        <v>3328</v>
      </c>
      <c r="I1646" s="12" t="s">
        <v>4199</v>
      </c>
    </row>
    <row r="1647" spans="1:9" ht="75" x14ac:dyDescent="0.25">
      <c r="A1647" s="2">
        <v>1644</v>
      </c>
      <c r="B1647" s="3" t="s">
        <v>3376</v>
      </c>
      <c r="C1647" s="3" t="s">
        <v>3409</v>
      </c>
      <c r="D1647" s="3" t="s">
        <v>3409</v>
      </c>
      <c r="E1647" s="2">
        <v>2021</v>
      </c>
      <c r="F1647" s="3" t="s">
        <v>3410</v>
      </c>
      <c r="G1647" s="2" t="s">
        <v>12</v>
      </c>
      <c r="H1647" s="3" t="s">
        <v>3201</v>
      </c>
      <c r="I1647" s="15" t="s">
        <v>3204</v>
      </c>
    </row>
    <row r="1648" spans="1:9" ht="30" x14ac:dyDescent="0.25">
      <c r="A1648" s="2">
        <v>1645</v>
      </c>
      <c r="B1648" s="3" t="s">
        <v>3411</v>
      </c>
      <c r="C1648" s="3" t="s">
        <v>3415</v>
      </c>
      <c r="D1648" s="3" t="s">
        <v>3415</v>
      </c>
      <c r="E1648" s="2">
        <v>2020</v>
      </c>
      <c r="F1648" s="3" t="s">
        <v>3413</v>
      </c>
      <c r="G1648" s="2" t="s">
        <v>12</v>
      </c>
      <c r="H1648" s="3" t="s">
        <v>3414</v>
      </c>
      <c r="I1648" s="12" t="s">
        <v>3204</v>
      </c>
    </row>
    <row r="1649" spans="1:9" ht="30" x14ac:dyDescent="0.25">
      <c r="A1649" s="2">
        <v>1646</v>
      </c>
      <c r="B1649" s="3" t="s">
        <v>3411</v>
      </c>
      <c r="C1649" s="3" t="s">
        <v>4200</v>
      </c>
      <c r="D1649" s="3" t="s">
        <v>4200</v>
      </c>
      <c r="E1649" s="2">
        <v>2020</v>
      </c>
      <c r="F1649" s="3" t="s">
        <v>3413</v>
      </c>
      <c r="G1649" s="2" t="s">
        <v>12</v>
      </c>
      <c r="H1649" s="3" t="s">
        <v>3414</v>
      </c>
      <c r="I1649" s="12" t="s">
        <v>3204</v>
      </c>
    </row>
    <row r="1650" spans="1:9" ht="45" x14ac:dyDescent="0.25">
      <c r="A1650" s="2">
        <v>1647</v>
      </c>
      <c r="B1650" s="3" t="s">
        <v>3416</v>
      </c>
      <c r="C1650" s="3" t="s">
        <v>4201</v>
      </c>
      <c r="D1650" s="3" t="s">
        <v>4201</v>
      </c>
      <c r="E1650" s="2">
        <v>2020</v>
      </c>
      <c r="F1650" s="3" t="s">
        <v>3418</v>
      </c>
      <c r="G1650" s="2" t="s">
        <v>12</v>
      </c>
      <c r="H1650" s="3" t="s">
        <v>3419</v>
      </c>
      <c r="I1650" s="12" t="s">
        <v>3204</v>
      </c>
    </row>
    <row r="1651" spans="1:9" ht="45" x14ac:dyDescent="0.25">
      <c r="A1651" s="2">
        <v>1648</v>
      </c>
      <c r="B1651" s="3" t="s">
        <v>3416</v>
      </c>
      <c r="C1651" s="3" t="s">
        <v>4202</v>
      </c>
      <c r="D1651" s="3" t="s">
        <v>4202</v>
      </c>
      <c r="E1651" s="2">
        <v>2021</v>
      </c>
      <c r="F1651" s="3" t="s">
        <v>3421</v>
      </c>
      <c r="G1651" s="2" t="s">
        <v>12</v>
      </c>
      <c r="H1651" s="3" t="s">
        <v>3422</v>
      </c>
      <c r="I1651" s="12" t="s">
        <v>3204</v>
      </c>
    </row>
    <row r="1652" spans="1:9" ht="30" x14ac:dyDescent="0.25">
      <c r="A1652" s="2">
        <v>1649</v>
      </c>
      <c r="B1652" s="3" t="s">
        <v>3416</v>
      </c>
      <c r="C1652" s="3" t="s">
        <v>4203</v>
      </c>
      <c r="D1652" s="3" t="s">
        <v>4203</v>
      </c>
      <c r="E1652" s="2">
        <v>2020</v>
      </c>
      <c r="F1652" s="3" t="s">
        <v>3424</v>
      </c>
      <c r="G1652" s="2" t="s">
        <v>12</v>
      </c>
      <c r="H1652" s="3" t="s">
        <v>3425</v>
      </c>
      <c r="I1652" s="12" t="s">
        <v>3204</v>
      </c>
    </row>
    <row r="1653" spans="1:9" ht="30" x14ac:dyDescent="0.25">
      <c r="A1653" s="2">
        <v>1650</v>
      </c>
      <c r="B1653" s="3" t="s">
        <v>3416</v>
      </c>
      <c r="C1653" s="3" t="s">
        <v>3426</v>
      </c>
      <c r="D1653" s="3" t="s">
        <v>3426</v>
      </c>
      <c r="E1653" s="2">
        <v>2021</v>
      </c>
      <c r="F1653" s="3" t="s">
        <v>3427</v>
      </c>
      <c r="G1653" s="2" t="s">
        <v>12</v>
      </c>
      <c r="H1653" s="3" t="s">
        <v>3428</v>
      </c>
      <c r="I1653" s="12" t="s">
        <v>3204</v>
      </c>
    </row>
    <row r="1654" spans="1:9" ht="30" x14ac:dyDescent="0.25">
      <c r="A1654" s="2">
        <v>1651</v>
      </c>
      <c r="B1654" s="3" t="s">
        <v>3416</v>
      </c>
      <c r="C1654" s="3" t="s">
        <v>4204</v>
      </c>
      <c r="D1654" s="3" t="s">
        <v>4204</v>
      </c>
      <c r="E1654" s="2">
        <v>2022</v>
      </c>
      <c r="F1654" s="3" t="s">
        <v>3430</v>
      </c>
      <c r="G1654" s="2" t="s">
        <v>12</v>
      </c>
      <c r="H1654" s="3" t="s">
        <v>3431</v>
      </c>
      <c r="I1654" s="12" t="s">
        <v>3204</v>
      </c>
    </row>
    <row r="1655" spans="1:9" ht="60" x14ac:dyDescent="0.25">
      <c r="A1655" s="2">
        <v>1652</v>
      </c>
      <c r="B1655" s="3" t="s">
        <v>3432</v>
      </c>
      <c r="C1655" s="3" t="s">
        <v>4205</v>
      </c>
      <c r="D1655" s="3" t="s">
        <v>4205</v>
      </c>
      <c r="E1655" s="2">
        <v>2022</v>
      </c>
      <c r="F1655" s="3" t="s">
        <v>3430</v>
      </c>
      <c r="G1655" s="2" t="s">
        <v>12</v>
      </c>
      <c r="H1655" s="3" t="s">
        <v>3431</v>
      </c>
      <c r="I1655" s="12" t="s">
        <v>3204</v>
      </c>
    </row>
    <row r="1656" spans="1:9" ht="45" x14ac:dyDescent="0.25">
      <c r="A1656" s="2">
        <v>1653</v>
      </c>
      <c r="B1656" s="3" t="s">
        <v>3433</v>
      </c>
      <c r="C1656" s="3" t="s">
        <v>4206</v>
      </c>
      <c r="D1656" s="3" t="s">
        <v>4206</v>
      </c>
      <c r="E1656" s="2">
        <v>2019</v>
      </c>
      <c r="F1656" s="3">
        <v>23199318</v>
      </c>
      <c r="G1656" s="2" t="s">
        <v>12</v>
      </c>
      <c r="H1656" s="3" t="s">
        <v>3435</v>
      </c>
      <c r="I1656" s="12" t="s">
        <v>3204</v>
      </c>
    </row>
    <row r="1657" spans="1:9" ht="60" x14ac:dyDescent="0.25">
      <c r="A1657" s="2">
        <v>1654</v>
      </c>
      <c r="B1657" s="3" t="s">
        <v>3433</v>
      </c>
      <c r="C1657" s="3" t="s">
        <v>4207</v>
      </c>
      <c r="D1657" s="3" t="s">
        <v>4207</v>
      </c>
      <c r="E1657" s="2">
        <v>2019</v>
      </c>
      <c r="F1657" s="3" t="s">
        <v>4208</v>
      </c>
      <c r="G1657" s="2" t="s">
        <v>12</v>
      </c>
      <c r="H1657" s="3" t="s">
        <v>4209</v>
      </c>
      <c r="I1657" s="15" t="s">
        <v>3204</v>
      </c>
    </row>
    <row r="1658" spans="1:9" ht="45" x14ac:dyDescent="0.25">
      <c r="A1658" s="2">
        <v>1655</v>
      </c>
      <c r="B1658" s="3" t="s">
        <v>3438</v>
      </c>
      <c r="C1658" s="3" t="s">
        <v>4210</v>
      </c>
      <c r="D1658" s="3" t="s">
        <v>4210</v>
      </c>
      <c r="E1658" s="2">
        <v>2021</v>
      </c>
      <c r="F1658" s="3">
        <v>1</v>
      </c>
      <c r="G1658" s="2" t="s">
        <v>12</v>
      </c>
      <c r="H1658" s="3" t="s">
        <v>3440</v>
      </c>
      <c r="I1658" s="15" t="s">
        <v>3204</v>
      </c>
    </row>
    <row r="1659" spans="1:9" ht="45" x14ac:dyDescent="0.25">
      <c r="A1659" s="2">
        <v>1656</v>
      </c>
      <c r="B1659" s="3" t="s">
        <v>3443</v>
      </c>
      <c r="C1659" s="3" t="s">
        <v>3444</v>
      </c>
      <c r="D1659" s="3" t="s">
        <v>3444</v>
      </c>
      <c r="E1659" s="2">
        <v>2021</v>
      </c>
      <c r="F1659" s="3" t="s">
        <v>3445</v>
      </c>
      <c r="G1659" s="2" t="s">
        <v>12</v>
      </c>
      <c r="H1659" s="3" t="s">
        <v>3446</v>
      </c>
      <c r="I1659" s="15" t="s">
        <v>3204</v>
      </c>
    </row>
    <row r="1660" spans="1:9" ht="45" x14ac:dyDescent="0.25">
      <c r="A1660" s="2">
        <v>1657</v>
      </c>
      <c r="B1660" s="3" t="s">
        <v>3443</v>
      </c>
      <c r="C1660" s="3" t="s">
        <v>3444</v>
      </c>
      <c r="D1660" s="3" t="s">
        <v>3444</v>
      </c>
      <c r="E1660" s="2">
        <v>2022</v>
      </c>
      <c r="F1660" s="3" t="s">
        <v>3448</v>
      </c>
      <c r="G1660" s="2" t="s">
        <v>12</v>
      </c>
      <c r="H1660" s="3" t="s">
        <v>3446</v>
      </c>
      <c r="I1660" s="12" t="s">
        <v>4211</v>
      </c>
    </row>
    <row r="1661" spans="1:9" ht="45" x14ac:dyDescent="0.25">
      <c r="A1661" s="2">
        <v>1658</v>
      </c>
      <c r="B1661" s="3" t="s">
        <v>3433</v>
      </c>
      <c r="C1661" s="3" t="s">
        <v>3452</v>
      </c>
      <c r="D1661" s="3" t="s">
        <v>3452</v>
      </c>
      <c r="E1661" s="2">
        <v>2022</v>
      </c>
      <c r="F1661" s="3" t="s">
        <v>3453</v>
      </c>
      <c r="G1661" s="2" t="s">
        <v>12</v>
      </c>
      <c r="H1661" s="3" t="s">
        <v>3454</v>
      </c>
      <c r="I1661" s="12" t="s">
        <v>4212</v>
      </c>
    </row>
    <row r="1662" spans="1:9" ht="30" x14ac:dyDescent="0.25">
      <c r="A1662" s="2">
        <v>1659</v>
      </c>
      <c r="B1662" s="3" t="s">
        <v>3433</v>
      </c>
      <c r="C1662" s="3" t="s">
        <v>3455</v>
      </c>
      <c r="D1662" s="3" t="s">
        <v>3455</v>
      </c>
      <c r="E1662" s="2">
        <v>2022</v>
      </c>
      <c r="F1662" s="3">
        <v>9783354263774</v>
      </c>
      <c r="G1662" s="2" t="s">
        <v>12</v>
      </c>
      <c r="H1662" s="3" t="s">
        <v>3456</v>
      </c>
      <c r="I1662" s="12" t="s">
        <v>3204</v>
      </c>
    </row>
    <row r="1663" spans="1:9" ht="30" x14ac:dyDescent="0.25">
      <c r="A1663" s="2">
        <v>1660</v>
      </c>
      <c r="B1663" s="3" t="s">
        <v>4032</v>
      </c>
      <c r="C1663" s="3" t="s">
        <v>4213</v>
      </c>
      <c r="D1663" s="3" t="s">
        <v>4213</v>
      </c>
      <c r="E1663" s="2">
        <v>2018</v>
      </c>
      <c r="F1663" s="3" t="s">
        <v>3201</v>
      </c>
      <c r="G1663" s="2" t="s">
        <v>12</v>
      </c>
      <c r="H1663" s="3" t="s">
        <v>4214</v>
      </c>
      <c r="I1663" s="12" t="s">
        <v>3204</v>
      </c>
    </row>
    <row r="1664" spans="1:9" ht="30" x14ac:dyDescent="0.25">
      <c r="A1664" s="2">
        <v>1661</v>
      </c>
      <c r="B1664" s="3" t="s">
        <v>4032</v>
      </c>
      <c r="C1664" s="3" t="s">
        <v>4215</v>
      </c>
      <c r="D1664" s="3" t="s">
        <v>4215</v>
      </c>
      <c r="E1664" s="2">
        <v>2018</v>
      </c>
      <c r="F1664" s="3" t="s">
        <v>3201</v>
      </c>
      <c r="G1664" s="2" t="s">
        <v>12</v>
      </c>
      <c r="H1664" s="3" t="s">
        <v>4216</v>
      </c>
      <c r="I1664" s="12" t="s">
        <v>3204</v>
      </c>
    </row>
    <row r="1665" spans="1:9" ht="60" x14ac:dyDescent="0.25">
      <c r="A1665" s="2">
        <v>1662</v>
      </c>
      <c r="B1665" s="3" t="s">
        <v>4032</v>
      </c>
      <c r="C1665" s="3" t="s">
        <v>4217</v>
      </c>
      <c r="D1665" s="3" t="s">
        <v>4217</v>
      </c>
      <c r="E1665" s="2">
        <v>2018</v>
      </c>
      <c r="F1665" s="3" t="s">
        <v>3201</v>
      </c>
      <c r="G1665" s="2" t="s">
        <v>12</v>
      </c>
      <c r="H1665" s="3" t="s">
        <v>4218</v>
      </c>
      <c r="I1665" s="12" t="s">
        <v>3204</v>
      </c>
    </row>
    <row r="1666" spans="1:9" ht="45" x14ac:dyDescent="0.25">
      <c r="A1666" s="2">
        <v>1663</v>
      </c>
      <c r="B1666" s="3" t="s">
        <v>4032</v>
      </c>
      <c r="C1666" s="3" t="s">
        <v>4219</v>
      </c>
      <c r="D1666" s="3" t="s">
        <v>4219</v>
      </c>
      <c r="E1666" s="2">
        <v>2018</v>
      </c>
      <c r="F1666" s="3" t="s">
        <v>4220</v>
      </c>
      <c r="G1666" s="2" t="s">
        <v>12</v>
      </c>
      <c r="H1666" s="3" t="s">
        <v>4221</v>
      </c>
      <c r="I1666" s="12" t="s">
        <v>3204</v>
      </c>
    </row>
    <row r="1667" spans="1:9" ht="45" x14ac:dyDescent="0.25">
      <c r="A1667" s="2">
        <v>1664</v>
      </c>
      <c r="B1667" s="3" t="s">
        <v>4032</v>
      </c>
      <c r="C1667" s="3" t="s">
        <v>4222</v>
      </c>
      <c r="D1667" s="3" t="s">
        <v>4222</v>
      </c>
      <c r="E1667" s="2">
        <v>2018</v>
      </c>
      <c r="F1667" s="3" t="s">
        <v>4220</v>
      </c>
      <c r="G1667" s="2" t="s">
        <v>12</v>
      </c>
      <c r="H1667" s="3" t="s">
        <v>4221</v>
      </c>
      <c r="I1667" s="12" t="s">
        <v>3204</v>
      </c>
    </row>
    <row r="1668" spans="1:9" ht="30" x14ac:dyDescent="0.25">
      <c r="A1668" s="2">
        <v>1665</v>
      </c>
      <c r="B1668" s="3" t="s">
        <v>3461</v>
      </c>
      <c r="C1668" s="3" t="s">
        <v>4223</v>
      </c>
      <c r="D1668" s="3" t="s">
        <v>4223</v>
      </c>
      <c r="E1668" s="2">
        <v>2018</v>
      </c>
      <c r="F1668" s="3" t="s">
        <v>3463</v>
      </c>
      <c r="G1668" s="2" t="s">
        <v>12</v>
      </c>
      <c r="H1668" s="3" t="s">
        <v>3464</v>
      </c>
      <c r="I1668" s="12" t="s">
        <v>3204</v>
      </c>
    </row>
    <row r="1669" spans="1:9" ht="30" x14ac:dyDescent="0.25">
      <c r="A1669" s="2">
        <v>1666</v>
      </c>
      <c r="B1669" s="3" t="s">
        <v>3467</v>
      </c>
      <c r="C1669" s="3" t="s">
        <v>4224</v>
      </c>
      <c r="D1669" s="3" t="s">
        <v>4224</v>
      </c>
      <c r="E1669" s="2">
        <v>2019</v>
      </c>
      <c r="F1669" s="3" t="s">
        <v>3201</v>
      </c>
      <c r="G1669" s="2" t="s">
        <v>12</v>
      </c>
      <c r="H1669" s="3" t="s">
        <v>3201</v>
      </c>
      <c r="I1669" s="12" t="s">
        <v>3204</v>
      </c>
    </row>
    <row r="1670" spans="1:9" ht="30" x14ac:dyDescent="0.25">
      <c r="A1670" s="2">
        <v>1667</v>
      </c>
      <c r="B1670" s="3" t="s">
        <v>3467</v>
      </c>
      <c r="C1670" s="3" t="s">
        <v>4225</v>
      </c>
      <c r="D1670" s="3" t="s">
        <v>4225</v>
      </c>
      <c r="E1670" s="2">
        <v>2019</v>
      </c>
      <c r="F1670" s="3" t="s">
        <v>4226</v>
      </c>
      <c r="G1670" s="2" t="s">
        <v>12</v>
      </c>
      <c r="H1670" s="3" t="s">
        <v>4227</v>
      </c>
      <c r="I1670" s="12" t="s">
        <v>3204</v>
      </c>
    </row>
    <row r="1671" spans="1:9" ht="45" x14ac:dyDescent="0.25">
      <c r="A1671" s="2">
        <v>1668</v>
      </c>
      <c r="B1671" s="3" t="s">
        <v>3467</v>
      </c>
      <c r="C1671" s="3" t="s">
        <v>4228</v>
      </c>
      <c r="D1671" s="3" t="s">
        <v>4228</v>
      </c>
      <c r="E1671" s="2">
        <v>2019</v>
      </c>
      <c r="F1671" s="3" t="s">
        <v>3201</v>
      </c>
      <c r="G1671" s="2" t="s">
        <v>12</v>
      </c>
      <c r="H1671" s="3" t="s">
        <v>3201</v>
      </c>
      <c r="I1671" s="15" t="s">
        <v>3204</v>
      </c>
    </row>
    <row r="1672" spans="1:9" ht="60" x14ac:dyDescent="0.25">
      <c r="A1672" s="2">
        <v>1669</v>
      </c>
      <c r="B1672" s="3" t="s">
        <v>3467</v>
      </c>
      <c r="C1672" s="3" t="s">
        <v>4229</v>
      </c>
      <c r="D1672" s="3" t="s">
        <v>4229</v>
      </c>
      <c r="E1672" s="2">
        <v>2019</v>
      </c>
      <c r="F1672" s="3" t="s">
        <v>3201</v>
      </c>
      <c r="G1672" s="2" t="s">
        <v>12</v>
      </c>
      <c r="H1672" s="3" t="s">
        <v>3201</v>
      </c>
      <c r="I1672" s="12" t="s">
        <v>3204</v>
      </c>
    </row>
    <row r="1673" spans="1:9" ht="45" x14ac:dyDescent="0.25">
      <c r="A1673" s="2">
        <v>1670</v>
      </c>
      <c r="B1673" s="3" t="s">
        <v>3467</v>
      </c>
      <c r="C1673" s="3" t="s">
        <v>4230</v>
      </c>
      <c r="D1673" s="3" t="s">
        <v>4230</v>
      </c>
      <c r="E1673" s="2">
        <v>2019</v>
      </c>
      <c r="F1673" s="3" t="s">
        <v>3201</v>
      </c>
      <c r="G1673" s="2" t="s">
        <v>12</v>
      </c>
      <c r="H1673" s="3" t="s">
        <v>3201</v>
      </c>
      <c r="I1673" s="12" t="s">
        <v>3204</v>
      </c>
    </row>
    <row r="1674" spans="1:9" ht="75" x14ac:dyDescent="0.25">
      <c r="A1674" s="2">
        <v>1671</v>
      </c>
      <c r="B1674" s="3" t="s">
        <v>3467</v>
      </c>
      <c r="C1674" s="3" t="s">
        <v>4231</v>
      </c>
      <c r="D1674" s="3" t="s">
        <v>4231</v>
      </c>
      <c r="E1674" s="2">
        <v>2018</v>
      </c>
      <c r="F1674" s="3" t="s">
        <v>3201</v>
      </c>
      <c r="G1674" s="2" t="s">
        <v>12</v>
      </c>
      <c r="H1674" s="3" t="s">
        <v>3201</v>
      </c>
      <c r="I1674" s="15" t="s">
        <v>3204</v>
      </c>
    </row>
    <row r="1675" spans="1:9" ht="45" x14ac:dyDescent="0.25">
      <c r="A1675" s="2">
        <v>1672</v>
      </c>
      <c r="B1675" s="3" t="s">
        <v>4028</v>
      </c>
      <c r="C1675" s="3" t="s">
        <v>4232</v>
      </c>
      <c r="D1675" s="3" t="s">
        <v>4232</v>
      </c>
      <c r="E1675" s="2">
        <v>2019</v>
      </c>
      <c r="F1675" s="3" t="s">
        <v>3201</v>
      </c>
      <c r="G1675" s="2" t="s">
        <v>12</v>
      </c>
      <c r="H1675" s="3" t="s">
        <v>3201</v>
      </c>
      <c r="I1675" s="12" t="s">
        <v>3204</v>
      </c>
    </row>
    <row r="1676" spans="1:9" ht="293.25" x14ac:dyDescent="0.25">
      <c r="A1676" s="2">
        <v>1673</v>
      </c>
      <c r="B1676" s="3" t="s">
        <v>3457</v>
      </c>
      <c r="C1676" s="3" t="s">
        <v>4233</v>
      </c>
      <c r="D1676" s="3" t="s">
        <v>4233</v>
      </c>
      <c r="E1676" s="2">
        <v>2019</v>
      </c>
      <c r="F1676" s="3" t="s">
        <v>4234</v>
      </c>
      <c r="G1676" s="2" t="s">
        <v>12</v>
      </c>
      <c r="H1676" s="3" t="s">
        <v>4235</v>
      </c>
      <c r="I1676" s="16" t="s">
        <v>4236</v>
      </c>
    </row>
    <row r="1677" spans="1:9" ht="30" x14ac:dyDescent="0.25">
      <c r="A1677" s="2">
        <v>1674</v>
      </c>
      <c r="B1677" s="3" t="s">
        <v>3471</v>
      </c>
      <c r="C1677" s="3" t="s">
        <v>4237</v>
      </c>
      <c r="D1677" s="3" t="s">
        <v>4237</v>
      </c>
      <c r="E1677" s="2">
        <v>2019</v>
      </c>
      <c r="F1677" s="3" t="s">
        <v>3201</v>
      </c>
      <c r="G1677" s="2" t="s">
        <v>12</v>
      </c>
      <c r="H1677" s="3" t="s">
        <v>3201</v>
      </c>
      <c r="I1677" s="12" t="s">
        <v>3204</v>
      </c>
    </row>
    <row r="1678" spans="1:9" ht="30" x14ac:dyDescent="0.25">
      <c r="A1678" s="2">
        <v>1675</v>
      </c>
      <c r="B1678" s="3" t="s">
        <v>3471</v>
      </c>
      <c r="C1678" s="3" t="s">
        <v>4238</v>
      </c>
      <c r="D1678" s="3" t="s">
        <v>4238</v>
      </c>
      <c r="E1678" s="2">
        <v>2019</v>
      </c>
      <c r="F1678" s="3" t="s">
        <v>3348</v>
      </c>
      <c r="G1678" s="2" t="s">
        <v>12</v>
      </c>
      <c r="H1678" s="3" t="s">
        <v>3201</v>
      </c>
      <c r="I1678" s="12" t="s">
        <v>3204</v>
      </c>
    </row>
    <row r="1679" spans="1:9" ht="30" x14ac:dyDescent="0.25">
      <c r="A1679" s="2">
        <v>1676</v>
      </c>
      <c r="B1679" s="3" t="s">
        <v>3471</v>
      </c>
      <c r="C1679" s="3" t="s">
        <v>4239</v>
      </c>
      <c r="D1679" s="3" t="s">
        <v>4239</v>
      </c>
      <c r="E1679" s="2">
        <v>2020</v>
      </c>
      <c r="F1679" s="3" t="s">
        <v>3348</v>
      </c>
      <c r="G1679" s="2" t="s">
        <v>12</v>
      </c>
      <c r="H1679" s="3" t="s">
        <v>3502</v>
      </c>
      <c r="I1679" s="12" t="s">
        <v>3204</v>
      </c>
    </row>
    <row r="1680" spans="1:9" ht="30" x14ac:dyDescent="0.25">
      <c r="A1680" s="2">
        <v>1677</v>
      </c>
      <c r="B1680" s="3" t="s">
        <v>3471</v>
      </c>
      <c r="C1680" s="3" t="s">
        <v>4240</v>
      </c>
      <c r="D1680" s="3" t="s">
        <v>4240</v>
      </c>
      <c r="E1680" s="2">
        <v>2023</v>
      </c>
      <c r="F1680" s="3" t="s">
        <v>3348</v>
      </c>
      <c r="G1680" s="2" t="s">
        <v>12</v>
      </c>
      <c r="H1680" s="3" t="s">
        <v>4241</v>
      </c>
      <c r="I1680" s="12" t="s">
        <v>3204</v>
      </c>
    </row>
    <row r="1681" spans="1:9" ht="30" x14ac:dyDescent="0.25">
      <c r="A1681" s="2">
        <v>1678</v>
      </c>
      <c r="B1681" s="3" t="s">
        <v>3471</v>
      </c>
      <c r="C1681" s="3" t="s">
        <v>4242</v>
      </c>
      <c r="D1681" s="3" t="s">
        <v>4242</v>
      </c>
      <c r="E1681" s="2">
        <v>2023</v>
      </c>
      <c r="F1681" s="3" t="s">
        <v>3348</v>
      </c>
      <c r="G1681" s="2" t="s">
        <v>12</v>
      </c>
      <c r="H1681" s="3" t="s">
        <v>4243</v>
      </c>
      <c r="I1681" s="12" t="s">
        <v>3204</v>
      </c>
    </row>
    <row r="1682" spans="1:9" ht="30" x14ac:dyDescent="0.25">
      <c r="A1682" s="2">
        <v>1679</v>
      </c>
      <c r="B1682" s="3" t="s">
        <v>3471</v>
      </c>
      <c r="C1682" s="3" t="s">
        <v>4244</v>
      </c>
      <c r="D1682" s="3" t="s">
        <v>4244</v>
      </c>
      <c r="E1682" s="2">
        <v>2020</v>
      </c>
      <c r="F1682" s="3" t="s">
        <v>3201</v>
      </c>
      <c r="G1682" s="2" t="s">
        <v>12</v>
      </c>
      <c r="H1682" s="3" t="s">
        <v>3201</v>
      </c>
      <c r="I1682" s="12" t="s">
        <v>3204</v>
      </c>
    </row>
    <row r="1683" spans="1:9" ht="45" x14ac:dyDescent="0.25">
      <c r="A1683" s="2">
        <v>1680</v>
      </c>
      <c r="B1683" s="3" t="s">
        <v>3471</v>
      </c>
      <c r="C1683" s="3" t="s">
        <v>4245</v>
      </c>
      <c r="D1683" s="3" t="s">
        <v>4245</v>
      </c>
      <c r="E1683" s="2">
        <v>2023</v>
      </c>
      <c r="F1683" s="3" t="s">
        <v>3348</v>
      </c>
      <c r="G1683" s="2" t="s">
        <v>12</v>
      </c>
      <c r="H1683" s="3" t="s">
        <v>4246</v>
      </c>
      <c r="I1683" s="12" t="s">
        <v>3204</v>
      </c>
    </row>
    <row r="1684" spans="1:9" ht="30" x14ac:dyDescent="0.25">
      <c r="A1684" s="2">
        <v>1681</v>
      </c>
      <c r="B1684" s="3" t="s">
        <v>3507</v>
      </c>
      <c r="C1684" s="3" t="s">
        <v>4247</v>
      </c>
      <c r="D1684" s="3" t="s">
        <v>4247</v>
      </c>
      <c r="E1684" s="2">
        <v>2019</v>
      </c>
      <c r="F1684" s="3" t="s">
        <v>3509</v>
      </c>
      <c r="G1684" s="2" t="s">
        <v>12</v>
      </c>
      <c r="H1684" s="3" t="s">
        <v>3510</v>
      </c>
      <c r="I1684" s="12" t="s">
        <v>3204</v>
      </c>
    </row>
    <row r="1685" spans="1:9" ht="30" x14ac:dyDescent="0.25">
      <c r="A1685" s="2">
        <v>1682</v>
      </c>
      <c r="B1685" s="3" t="s">
        <v>3507</v>
      </c>
      <c r="C1685" s="3" t="s">
        <v>4248</v>
      </c>
      <c r="D1685" s="3" t="s">
        <v>4248</v>
      </c>
      <c r="E1685" s="2">
        <v>2019</v>
      </c>
      <c r="F1685" s="3" t="s">
        <v>3201</v>
      </c>
      <c r="G1685" s="2" t="s">
        <v>12</v>
      </c>
      <c r="H1685" s="3" t="s">
        <v>3201</v>
      </c>
      <c r="I1685" s="12" t="s">
        <v>3204</v>
      </c>
    </row>
    <row r="1686" spans="1:9" ht="30" x14ac:dyDescent="0.25">
      <c r="A1686" s="2">
        <v>1683</v>
      </c>
      <c r="B1686" s="3" t="s">
        <v>3507</v>
      </c>
      <c r="C1686" s="3" t="s">
        <v>4249</v>
      </c>
      <c r="D1686" s="3" t="s">
        <v>4249</v>
      </c>
      <c r="E1686" s="2">
        <v>2020</v>
      </c>
      <c r="F1686" s="3" t="s">
        <v>3201</v>
      </c>
      <c r="G1686" s="2" t="s">
        <v>12</v>
      </c>
      <c r="H1686" s="3" t="s">
        <v>3201</v>
      </c>
      <c r="I1686" s="12" t="s">
        <v>3204</v>
      </c>
    </row>
    <row r="1687" spans="1:9" ht="45" x14ac:dyDescent="0.25">
      <c r="A1687" s="2">
        <v>1684</v>
      </c>
      <c r="B1687" s="3" t="s">
        <v>3507</v>
      </c>
      <c r="C1687" s="3" t="s">
        <v>4250</v>
      </c>
      <c r="D1687" s="3" t="s">
        <v>4250</v>
      </c>
      <c r="E1687" s="2">
        <v>2021</v>
      </c>
      <c r="F1687" s="3" t="s">
        <v>3509</v>
      </c>
      <c r="G1687" s="2" t="s">
        <v>12</v>
      </c>
      <c r="H1687" s="3" t="s">
        <v>3510</v>
      </c>
      <c r="I1687" s="12" t="s">
        <v>3204</v>
      </c>
    </row>
    <row r="1688" spans="1:9" ht="30" x14ac:dyDescent="0.25">
      <c r="A1688" s="2">
        <v>1685</v>
      </c>
      <c r="B1688" s="3" t="s">
        <v>3507</v>
      </c>
      <c r="C1688" s="3" t="s">
        <v>4251</v>
      </c>
      <c r="D1688" s="3" t="s">
        <v>4251</v>
      </c>
      <c r="E1688" s="2">
        <v>2021</v>
      </c>
      <c r="F1688" s="3" t="s">
        <v>3201</v>
      </c>
      <c r="G1688" s="2" t="s">
        <v>12</v>
      </c>
      <c r="H1688" s="3" t="s">
        <v>3201</v>
      </c>
      <c r="I1688" s="12" t="s">
        <v>3204</v>
      </c>
    </row>
    <row r="1689" spans="1:9" ht="75" x14ac:dyDescent="0.25">
      <c r="A1689" s="2">
        <v>1686</v>
      </c>
      <c r="B1689" s="3" t="s">
        <v>3507</v>
      </c>
      <c r="C1689" s="3" t="s">
        <v>4252</v>
      </c>
      <c r="D1689" s="3" t="s">
        <v>4252</v>
      </c>
      <c r="E1689" s="2">
        <v>2021</v>
      </c>
      <c r="F1689" s="3" t="s">
        <v>3513</v>
      </c>
      <c r="G1689" s="2" t="s">
        <v>12</v>
      </c>
      <c r="H1689" s="3" t="s">
        <v>3201</v>
      </c>
      <c r="I1689" s="12" t="s">
        <v>3204</v>
      </c>
    </row>
    <row r="1690" spans="1:9" ht="30" x14ac:dyDescent="0.25">
      <c r="A1690" s="2">
        <v>1687</v>
      </c>
      <c r="B1690" s="3" t="s">
        <v>3507</v>
      </c>
      <c r="C1690" s="3" t="s">
        <v>3514</v>
      </c>
      <c r="D1690" s="3" t="s">
        <v>3514</v>
      </c>
      <c r="E1690" s="2">
        <v>2021</v>
      </c>
      <c r="F1690" s="3" t="s">
        <v>3515</v>
      </c>
      <c r="G1690" s="2" t="s">
        <v>12</v>
      </c>
      <c r="H1690" s="3" t="s">
        <v>3516</v>
      </c>
      <c r="I1690" s="12" t="s">
        <v>3204</v>
      </c>
    </row>
    <row r="1691" spans="1:9" ht="30" x14ac:dyDescent="0.25">
      <c r="A1691" s="2">
        <v>1688</v>
      </c>
      <c r="B1691" s="3" t="s">
        <v>3507</v>
      </c>
      <c r="C1691" s="3" t="s">
        <v>3517</v>
      </c>
      <c r="D1691" s="3" t="s">
        <v>3517</v>
      </c>
      <c r="E1691" s="2">
        <v>2021</v>
      </c>
      <c r="F1691" s="3" t="s">
        <v>3515</v>
      </c>
      <c r="G1691" s="2" t="s">
        <v>12</v>
      </c>
      <c r="H1691" s="3" t="s">
        <v>3518</v>
      </c>
      <c r="I1691" s="12" t="s">
        <v>3204</v>
      </c>
    </row>
    <row r="1692" spans="1:9" ht="60" x14ac:dyDescent="0.25">
      <c r="A1692" s="2">
        <v>1689</v>
      </c>
      <c r="B1692" s="3" t="s">
        <v>3507</v>
      </c>
      <c r="C1692" s="3" t="s">
        <v>3519</v>
      </c>
      <c r="D1692" s="3" t="s">
        <v>3519</v>
      </c>
      <c r="E1692" s="2">
        <v>2023</v>
      </c>
      <c r="F1692" s="3" t="s">
        <v>3520</v>
      </c>
      <c r="G1692" s="2" t="s">
        <v>12</v>
      </c>
      <c r="H1692" s="3" t="s">
        <v>3201</v>
      </c>
      <c r="I1692" s="12" t="s">
        <v>3521</v>
      </c>
    </row>
    <row r="1693" spans="1:9" ht="45" x14ac:dyDescent="0.25">
      <c r="A1693" s="2">
        <v>1690</v>
      </c>
      <c r="B1693" s="3" t="s">
        <v>3522</v>
      </c>
      <c r="C1693" s="3" t="s">
        <v>4253</v>
      </c>
      <c r="D1693" s="3" t="s">
        <v>4253</v>
      </c>
      <c r="E1693" s="2">
        <v>2020</v>
      </c>
      <c r="F1693" s="3" t="s">
        <v>3527</v>
      </c>
      <c r="G1693" s="2" t="s">
        <v>12</v>
      </c>
      <c r="H1693" s="3" t="s">
        <v>3530</v>
      </c>
      <c r="I1693" s="15" t="s">
        <v>3204</v>
      </c>
    </row>
    <row r="1694" spans="1:9" ht="45" x14ac:dyDescent="0.25">
      <c r="A1694" s="2">
        <v>1691</v>
      </c>
      <c r="B1694" s="3" t="s">
        <v>3531</v>
      </c>
      <c r="C1694" s="3" t="s">
        <v>4254</v>
      </c>
      <c r="D1694" s="3" t="s">
        <v>4254</v>
      </c>
      <c r="E1694" s="2">
        <v>2022</v>
      </c>
      <c r="F1694" s="3" t="s">
        <v>3533</v>
      </c>
      <c r="G1694" s="2" t="s">
        <v>12</v>
      </c>
      <c r="H1694" s="3" t="s">
        <v>3534</v>
      </c>
      <c r="I1694" s="15" t="s">
        <v>3204</v>
      </c>
    </row>
    <row r="1695" spans="1:9" ht="30" x14ac:dyDescent="0.25">
      <c r="A1695" s="2">
        <v>1692</v>
      </c>
      <c r="B1695" s="3" t="s">
        <v>3531</v>
      </c>
      <c r="C1695" s="3" t="s">
        <v>4255</v>
      </c>
      <c r="D1695" s="3" t="s">
        <v>4255</v>
      </c>
      <c r="E1695" s="2">
        <v>2022</v>
      </c>
      <c r="F1695" s="3" t="s">
        <v>3536</v>
      </c>
      <c r="G1695" s="2" t="s">
        <v>12</v>
      </c>
      <c r="H1695" s="3" t="s">
        <v>3537</v>
      </c>
      <c r="I1695" s="15" t="s">
        <v>3204</v>
      </c>
    </row>
    <row r="1696" spans="1:9" ht="30" x14ac:dyDescent="0.25">
      <c r="A1696" s="2">
        <v>1693</v>
      </c>
      <c r="B1696" s="3" t="s">
        <v>3531</v>
      </c>
      <c r="C1696" s="3" t="s">
        <v>4256</v>
      </c>
      <c r="D1696" s="3" t="s">
        <v>4256</v>
      </c>
      <c r="E1696" s="2">
        <v>2023</v>
      </c>
      <c r="F1696" s="3" t="s">
        <v>3539</v>
      </c>
      <c r="G1696" s="2" t="s">
        <v>12</v>
      </c>
      <c r="H1696" s="3" t="s">
        <v>3540</v>
      </c>
      <c r="I1696" s="15" t="s">
        <v>3204</v>
      </c>
    </row>
    <row r="1697" spans="1:9" ht="30" x14ac:dyDescent="0.25">
      <c r="A1697" s="2">
        <v>1694</v>
      </c>
      <c r="B1697" s="3" t="s">
        <v>3541</v>
      </c>
      <c r="C1697" s="3" t="s">
        <v>4257</v>
      </c>
      <c r="D1697" s="3" t="s">
        <v>4257</v>
      </c>
      <c r="E1697" s="2">
        <v>2022</v>
      </c>
      <c r="F1697" s="3" t="s">
        <v>3543</v>
      </c>
      <c r="G1697" s="2" t="s">
        <v>12</v>
      </c>
      <c r="H1697" s="3" t="s">
        <v>3544</v>
      </c>
      <c r="I1697" s="15" t="s">
        <v>3204</v>
      </c>
    </row>
    <row r="1698" spans="1:9" ht="45" x14ac:dyDescent="0.25">
      <c r="A1698" s="2">
        <v>1695</v>
      </c>
      <c r="B1698" s="3" t="s">
        <v>3545</v>
      </c>
      <c r="C1698" s="3" t="s">
        <v>4258</v>
      </c>
      <c r="D1698" s="3" t="s">
        <v>4258</v>
      </c>
      <c r="E1698" s="2">
        <v>2020</v>
      </c>
      <c r="F1698" s="3" t="s">
        <v>3547</v>
      </c>
      <c r="G1698" s="2" t="s">
        <v>12</v>
      </c>
      <c r="H1698" s="3" t="s">
        <v>3548</v>
      </c>
      <c r="I1698" s="12" t="s">
        <v>3204</v>
      </c>
    </row>
    <row r="1699" spans="1:9" ht="30" x14ac:dyDescent="0.25">
      <c r="A1699" s="2">
        <v>1696</v>
      </c>
      <c r="B1699" s="3" t="s">
        <v>3545</v>
      </c>
      <c r="C1699" s="3" t="s">
        <v>3549</v>
      </c>
      <c r="D1699" s="3" t="s">
        <v>3549</v>
      </c>
      <c r="E1699" s="2">
        <v>2020</v>
      </c>
      <c r="F1699" s="3" t="s">
        <v>3550</v>
      </c>
      <c r="G1699" s="2" t="s">
        <v>12</v>
      </c>
      <c r="H1699" s="3" t="s">
        <v>3551</v>
      </c>
      <c r="I1699" s="15" t="s">
        <v>3204</v>
      </c>
    </row>
    <row r="1700" spans="1:9" ht="30" x14ac:dyDescent="0.25">
      <c r="A1700" s="2">
        <v>1697</v>
      </c>
      <c r="B1700" s="3" t="s">
        <v>3552</v>
      </c>
      <c r="C1700" s="3" t="s">
        <v>4259</v>
      </c>
      <c r="D1700" s="3" t="s">
        <v>4259</v>
      </c>
      <c r="E1700" s="2">
        <v>2020</v>
      </c>
      <c r="F1700" s="3" t="s">
        <v>3348</v>
      </c>
      <c r="G1700" s="2" t="s">
        <v>12</v>
      </c>
      <c r="H1700" s="3" t="s">
        <v>3348</v>
      </c>
      <c r="I1700" s="12" t="s">
        <v>3204</v>
      </c>
    </row>
    <row r="1701" spans="1:9" ht="30" x14ac:dyDescent="0.25">
      <c r="A1701" s="2">
        <v>1698</v>
      </c>
      <c r="B1701" s="3" t="s">
        <v>3545</v>
      </c>
      <c r="C1701" s="3" t="s">
        <v>4260</v>
      </c>
      <c r="D1701" s="3" t="s">
        <v>4260</v>
      </c>
      <c r="E1701" s="2">
        <v>2020</v>
      </c>
      <c r="F1701" s="3" t="s">
        <v>3348</v>
      </c>
      <c r="G1701" s="2" t="s">
        <v>12</v>
      </c>
      <c r="H1701" s="3" t="s">
        <v>3348</v>
      </c>
      <c r="I1701" s="12" t="s">
        <v>3204</v>
      </c>
    </row>
    <row r="1702" spans="1:9" ht="45" x14ac:dyDescent="0.25">
      <c r="A1702" s="2">
        <v>1699</v>
      </c>
      <c r="B1702" s="3" t="s">
        <v>3552</v>
      </c>
      <c r="C1702" s="3" t="s">
        <v>4261</v>
      </c>
      <c r="D1702" s="3" t="s">
        <v>4261</v>
      </c>
      <c r="E1702" s="2">
        <v>2020</v>
      </c>
      <c r="F1702" s="3" t="s">
        <v>3348</v>
      </c>
      <c r="G1702" s="2" t="s">
        <v>12</v>
      </c>
      <c r="H1702" s="3" t="s">
        <v>3348</v>
      </c>
      <c r="I1702" s="15" t="s">
        <v>3204</v>
      </c>
    </row>
    <row r="1703" spans="1:9" ht="30" x14ac:dyDescent="0.25">
      <c r="A1703" s="2">
        <v>1700</v>
      </c>
      <c r="B1703" s="3" t="s">
        <v>3545</v>
      </c>
      <c r="C1703" s="3" t="s">
        <v>3554</v>
      </c>
      <c r="D1703" s="3" t="s">
        <v>3554</v>
      </c>
      <c r="E1703" s="2">
        <v>2020</v>
      </c>
      <c r="F1703" s="3" t="s">
        <v>3348</v>
      </c>
      <c r="G1703" s="2" t="s">
        <v>12</v>
      </c>
      <c r="H1703" s="3" t="s">
        <v>3348</v>
      </c>
      <c r="I1703" s="15" t="s">
        <v>3204</v>
      </c>
    </row>
    <row r="1704" spans="1:9" ht="30" x14ac:dyDescent="0.25">
      <c r="A1704" s="2">
        <v>1701</v>
      </c>
      <c r="B1704" s="3" t="s">
        <v>3545</v>
      </c>
      <c r="C1704" s="3" t="s">
        <v>4262</v>
      </c>
      <c r="D1704" s="3" t="s">
        <v>4262</v>
      </c>
      <c r="E1704" s="2">
        <v>2020</v>
      </c>
      <c r="F1704" s="3" t="s">
        <v>3348</v>
      </c>
      <c r="G1704" s="2" t="s">
        <v>12</v>
      </c>
      <c r="H1704" s="3" t="s">
        <v>3348</v>
      </c>
      <c r="I1704" s="15" t="s">
        <v>3204</v>
      </c>
    </row>
    <row r="1705" spans="1:9" ht="30" x14ac:dyDescent="0.25">
      <c r="A1705" s="2">
        <v>1702</v>
      </c>
      <c r="B1705" s="3" t="s">
        <v>3545</v>
      </c>
      <c r="C1705" s="3" t="s">
        <v>4263</v>
      </c>
      <c r="D1705" s="3" t="s">
        <v>4263</v>
      </c>
      <c r="E1705" s="2">
        <v>2020</v>
      </c>
      <c r="F1705" s="3" t="s">
        <v>3348</v>
      </c>
      <c r="G1705" s="2" t="s">
        <v>12</v>
      </c>
      <c r="H1705" s="3" t="s">
        <v>3348</v>
      </c>
      <c r="I1705" s="15" t="s">
        <v>3204</v>
      </c>
    </row>
    <row r="1706" spans="1:9" ht="45" x14ac:dyDescent="0.25">
      <c r="A1706" s="2">
        <v>1703</v>
      </c>
      <c r="B1706" s="3" t="s">
        <v>3555</v>
      </c>
      <c r="C1706" s="3" t="s">
        <v>3556</v>
      </c>
      <c r="D1706" s="3" t="s">
        <v>3556</v>
      </c>
      <c r="E1706" s="2">
        <v>2023</v>
      </c>
      <c r="F1706" s="3" t="s">
        <v>3562</v>
      </c>
      <c r="G1706" s="2" t="s">
        <v>12</v>
      </c>
      <c r="H1706" s="3" t="s">
        <v>3557</v>
      </c>
      <c r="I1706" s="12" t="s">
        <v>3204</v>
      </c>
    </row>
    <row r="1707" spans="1:9" ht="75" x14ac:dyDescent="0.25">
      <c r="A1707" s="2">
        <v>1704</v>
      </c>
      <c r="B1707" s="3" t="s">
        <v>3564</v>
      </c>
      <c r="C1707" s="3" t="s">
        <v>4264</v>
      </c>
      <c r="D1707" s="3" t="s">
        <v>4264</v>
      </c>
      <c r="E1707" s="2">
        <v>2020</v>
      </c>
      <c r="F1707" s="3" t="s">
        <v>3201</v>
      </c>
      <c r="G1707" s="2" t="s">
        <v>12</v>
      </c>
      <c r="H1707" s="3" t="s">
        <v>3566</v>
      </c>
      <c r="I1707" s="15" t="s">
        <v>3204</v>
      </c>
    </row>
    <row r="1708" spans="1:9" ht="45" x14ac:dyDescent="0.25">
      <c r="A1708" s="2">
        <v>1705</v>
      </c>
      <c r="B1708" s="3" t="s">
        <v>4265</v>
      </c>
      <c r="C1708" s="3" t="s">
        <v>4266</v>
      </c>
      <c r="D1708" s="3" t="s">
        <v>4266</v>
      </c>
      <c r="E1708" s="2">
        <v>2019</v>
      </c>
      <c r="F1708" s="3" t="s">
        <v>4220</v>
      </c>
      <c r="G1708" s="2" t="s">
        <v>12</v>
      </c>
      <c r="H1708" s="3" t="s">
        <v>4267</v>
      </c>
      <c r="I1708" s="15" t="s">
        <v>3204</v>
      </c>
    </row>
    <row r="1709" spans="1:9" ht="30" x14ac:dyDescent="0.25">
      <c r="A1709" s="2">
        <v>1706</v>
      </c>
      <c r="B1709" s="3" t="s">
        <v>4265</v>
      </c>
      <c r="C1709" s="3" t="s">
        <v>4268</v>
      </c>
      <c r="D1709" s="3" t="s">
        <v>4268</v>
      </c>
      <c r="E1709" s="2">
        <v>2020</v>
      </c>
      <c r="F1709" s="3" t="s">
        <v>4220</v>
      </c>
      <c r="G1709" s="2" t="s">
        <v>12</v>
      </c>
      <c r="H1709" s="3" t="s">
        <v>4268</v>
      </c>
      <c r="I1709" s="15" t="s">
        <v>3204</v>
      </c>
    </row>
    <row r="1710" spans="1:9" ht="30" x14ac:dyDescent="0.25">
      <c r="A1710" s="2">
        <v>1707</v>
      </c>
      <c r="B1710" s="3" t="s">
        <v>3583</v>
      </c>
      <c r="C1710" s="3" t="s">
        <v>4269</v>
      </c>
      <c r="D1710" s="3" t="s">
        <v>4269</v>
      </c>
      <c r="E1710" s="2">
        <v>2021</v>
      </c>
      <c r="F1710" s="3" t="s">
        <v>3585</v>
      </c>
      <c r="G1710" s="2" t="s">
        <v>12</v>
      </c>
      <c r="H1710" s="3" t="s">
        <v>3586</v>
      </c>
      <c r="I1710" s="12" t="s">
        <v>3204</v>
      </c>
    </row>
    <row r="1711" spans="1:9" ht="30" x14ac:dyDescent="0.25">
      <c r="A1711" s="2">
        <v>1708</v>
      </c>
      <c r="B1711" s="3" t="s">
        <v>3587</v>
      </c>
      <c r="C1711" s="3" t="s">
        <v>3588</v>
      </c>
      <c r="D1711" s="3" t="s">
        <v>3588</v>
      </c>
      <c r="E1711" s="2">
        <v>2019</v>
      </c>
      <c r="F1711" s="3" t="s">
        <v>3585</v>
      </c>
      <c r="G1711" s="2" t="s">
        <v>12</v>
      </c>
      <c r="H1711" s="3" t="s">
        <v>3586</v>
      </c>
      <c r="I1711" s="12" t="s">
        <v>3204</v>
      </c>
    </row>
    <row r="1712" spans="1:9" ht="30" x14ac:dyDescent="0.25">
      <c r="A1712" s="2">
        <v>1709</v>
      </c>
      <c r="B1712" s="3" t="s">
        <v>3595</v>
      </c>
      <c r="C1712" s="3" t="s">
        <v>3596</v>
      </c>
      <c r="D1712" s="3" t="s">
        <v>3596</v>
      </c>
      <c r="E1712" s="2">
        <v>2019</v>
      </c>
      <c r="F1712" s="3" t="s">
        <v>3597</v>
      </c>
      <c r="G1712" s="2" t="s">
        <v>12</v>
      </c>
      <c r="H1712" s="3" t="s">
        <v>3598</v>
      </c>
      <c r="I1712" s="15" t="s">
        <v>3204</v>
      </c>
    </row>
    <row r="1713" spans="1:9" ht="30" x14ac:dyDescent="0.25">
      <c r="A1713" s="2">
        <v>1710</v>
      </c>
      <c r="B1713" s="3" t="s">
        <v>3599</v>
      </c>
      <c r="C1713" s="3" t="s">
        <v>4270</v>
      </c>
      <c r="D1713" s="3" t="s">
        <v>4270</v>
      </c>
      <c r="E1713" s="2">
        <v>2019</v>
      </c>
      <c r="F1713" s="3" t="s">
        <v>4271</v>
      </c>
      <c r="G1713" s="2" t="s">
        <v>12</v>
      </c>
      <c r="H1713" s="3" t="s">
        <v>3635</v>
      </c>
      <c r="I1713" s="12" t="s">
        <v>3204</v>
      </c>
    </row>
    <row r="1714" spans="1:9" ht="30" x14ac:dyDescent="0.25">
      <c r="A1714" s="2">
        <v>1711</v>
      </c>
      <c r="B1714" s="3" t="s">
        <v>3610</v>
      </c>
      <c r="C1714" s="3" t="s">
        <v>4272</v>
      </c>
      <c r="D1714" s="3" t="s">
        <v>4272</v>
      </c>
      <c r="E1714" s="2">
        <v>2019</v>
      </c>
      <c r="F1714" s="3" t="s">
        <v>3612</v>
      </c>
      <c r="G1714" s="2" t="s">
        <v>12</v>
      </c>
      <c r="H1714" s="3" t="s">
        <v>3613</v>
      </c>
      <c r="I1714" s="12" t="s">
        <v>3204</v>
      </c>
    </row>
    <row r="1715" spans="1:9" ht="30" x14ac:dyDescent="0.25">
      <c r="A1715" s="2">
        <v>1712</v>
      </c>
      <c r="B1715" s="3" t="s">
        <v>3606</v>
      </c>
      <c r="C1715" s="3" t="s">
        <v>4273</v>
      </c>
      <c r="D1715" s="3" t="s">
        <v>4273</v>
      </c>
      <c r="E1715" s="2">
        <v>2019</v>
      </c>
      <c r="F1715" s="3" t="s">
        <v>3615</v>
      </c>
      <c r="G1715" s="2" t="s">
        <v>12</v>
      </c>
      <c r="H1715" s="3" t="s">
        <v>3616</v>
      </c>
      <c r="I1715" s="12" t="s">
        <v>3204</v>
      </c>
    </row>
    <row r="1716" spans="1:9" ht="30" x14ac:dyDescent="0.25">
      <c r="A1716" s="2">
        <v>1713</v>
      </c>
      <c r="B1716" s="3" t="s">
        <v>3606</v>
      </c>
      <c r="C1716" s="3" t="s">
        <v>4274</v>
      </c>
      <c r="D1716" s="3" t="s">
        <v>4274</v>
      </c>
      <c r="E1716" s="2">
        <v>2019</v>
      </c>
      <c r="F1716" s="3" t="s">
        <v>3618</v>
      </c>
      <c r="G1716" s="2" t="s">
        <v>12</v>
      </c>
      <c r="H1716" s="3" t="s">
        <v>3619</v>
      </c>
      <c r="I1716" s="12" t="s">
        <v>3204</v>
      </c>
    </row>
    <row r="1717" spans="1:9" ht="30" x14ac:dyDescent="0.25">
      <c r="A1717" s="2">
        <v>1714</v>
      </c>
      <c r="B1717" s="3" t="s">
        <v>3606</v>
      </c>
      <c r="C1717" s="3" t="s">
        <v>4275</v>
      </c>
      <c r="D1717" s="3" t="s">
        <v>4275</v>
      </c>
      <c r="E1717" s="2">
        <v>2019</v>
      </c>
      <c r="F1717" s="3" t="s">
        <v>3621</v>
      </c>
      <c r="G1717" s="2" t="s">
        <v>12</v>
      </c>
      <c r="H1717" s="3" t="s">
        <v>3622</v>
      </c>
      <c r="I1717" s="12" t="s">
        <v>3204</v>
      </c>
    </row>
    <row r="1718" spans="1:9" ht="30" x14ac:dyDescent="0.25">
      <c r="A1718" s="2">
        <v>1715</v>
      </c>
      <c r="B1718" s="3" t="s">
        <v>3606</v>
      </c>
      <c r="C1718" s="3" t="s">
        <v>4276</v>
      </c>
      <c r="D1718" s="3" t="s">
        <v>4276</v>
      </c>
      <c r="E1718" s="2">
        <v>2019</v>
      </c>
      <c r="F1718" s="3" t="s">
        <v>3624</v>
      </c>
      <c r="G1718" s="2" t="s">
        <v>12</v>
      </c>
      <c r="H1718" s="3" t="s">
        <v>3616</v>
      </c>
      <c r="I1718" s="12" t="s">
        <v>3204</v>
      </c>
    </row>
    <row r="1719" spans="1:9" ht="45" x14ac:dyDescent="0.25">
      <c r="A1719" s="2">
        <v>1716</v>
      </c>
      <c r="B1719" s="3" t="s">
        <v>3606</v>
      </c>
      <c r="C1719" s="3" t="s">
        <v>4277</v>
      </c>
      <c r="D1719" s="3" t="s">
        <v>4277</v>
      </c>
      <c r="E1719" s="2">
        <v>2019</v>
      </c>
      <c r="F1719" s="3" t="s">
        <v>3626</v>
      </c>
      <c r="G1719" s="2" t="s">
        <v>12</v>
      </c>
      <c r="H1719" s="3" t="s">
        <v>3627</v>
      </c>
      <c r="I1719" s="12" t="s">
        <v>3204</v>
      </c>
    </row>
    <row r="1720" spans="1:9" ht="30" x14ac:dyDescent="0.25">
      <c r="A1720" s="2">
        <v>1717</v>
      </c>
      <c r="B1720" s="3" t="s">
        <v>3610</v>
      </c>
      <c r="C1720" s="3" t="s">
        <v>4278</v>
      </c>
      <c r="D1720" s="3" t="s">
        <v>4278</v>
      </c>
      <c r="E1720" s="2">
        <v>2019</v>
      </c>
      <c r="F1720" s="3" t="s">
        <v>3621</v>
      </c>
      <c r="G1720" s="2" t="s">
        <v>12</v>
      </c>
      <c r="H1720" s="3" t="s">
        <v>3622</v>
      </c>
      <c r="I1720" s="12" t="s">
        <v>3204</v>
      </c>
    </row>
    <row r="1721" spans="1:9" ht="30" x14ac:dyDescent="0.25">
      <c r="A1721" s="2">
        <v>1718</v>
      </c>
      <c r="B1721" s="3" t="s">
        <v>3606</v>
      </c>
      <c r="C1721" s="3" t="s">
        <v>4278</v>
      </c>
      <c r="D1721" s="3" t="s">
        <v>4278</v>
      </c>
      <c r="E1721" s="2">
        <v>2019</v>
      </c>
      <c r="F1721" s="3" t="s">
        <v>3621</v>
      </c>
      <c r="G1721" s="2" t="s">
        <v>12</v>
      </c>
      <c r="H1721" s="3" t="s">
        <v>3622</v>
      </c>
      <c r="I1721" s="12" t="s">
        <v>3204</v>
      </c>
    </row>
    <row r="1722" spans="1:9" ht="30" x14ac:dyDescent="0.25">
      <c r="A1722" s="2">
        <v>1719</v>
      </c>
      <c r="B1722" s="3" t="s">
        <v>3610</v>
      </c>
      <c r="C1722" s="3" t="s">
        <v>4279</v>
      </c>
      <c r="D1722" s="3" t="s">
        <v>4279</v>
      </c>
      <c r="E1722" s="2">
        <v>2019</v>
      </c>
      <c r="F1722" s="3" t="s">
        <v>3604</v>
      </c>
      <c r="G1722" s="2" t="s">
        <v>12</v>
      </c>
      <c r="H1722" s="3" t="s">
        <v>3629</v>
      </c>
      <c r="I1722" s="12" t="s">
        <v>3204</v>
      </c>
    </row>
    <row r="1723" spans="1:9" ht="30" x14ac:dyDescent="0.25">
      <c r="A1723" s="2">
        <v>1720</v>
      </c>
      <c r="B1723" s="3" t="s">
        <v>3606</v>
      </c>
      <c r="C1723" s="3" t="s">
        <v>4280</v>
      </c>
      <c r="D1723" s="3" t="s">
        <v>4280</v>
      </c>
      <c r="E1723" s="2">
        <v>2019</v>
      </c>
      <c r="F1723" s="3" t="s">
        <v>3604</v>
      </c>
      <c r="G1723" s="2" t="s">
        <v>12</v>
      </c>
      <c r="H1723" s="3" t="s">
        <v>3630</v>
      </c>
      <c r="I1723" s="12" t="s">
        <v>3204</v>
      </c>
    </row>
    <row r="1724" spans="1:9" ht="30" x14ac:dyDescent="0.25">
      <c r="A1724" s="2">
        <v>1721</v>
      </c>
      <c r="B1724" s="3" t="s">
        <v>3606</v>
      </c>
      <c r="C1724" s="3" t="s">
        <v>4281</v>
      </c>
      <c r="D1724" s="3" t="s">
        <v>4281</v>
      </c>
      <c r="E1724" s="2">
        <v>2019</v>
      </c>
      <c r="F1724" s="3" t="s">
        <v>3604</v>
      </c>
      <c r="G1724" s="2" t="s">
        <v>12</v>
      </c>
      <c r="H1724" s="3" t="s">
        <v>3629</v>
      </c>
      <c r="I1724" s="12" t="s">
        <v>3204</v>
      </c>
    </row>
    <row r="1725" spans="1:9" ht="30" x14ac:dyDescent="0.25">
      <c r="A1725" s="2">
        <v>1722</v>
      </c>
      <c r="B1725" s="3" t="s">
        <v>3610</v>
      </c>
      <c r="C1725" s="3" t="s">
        <v>4282</v>
      </c>
      <c r="D1725" s="3" t="s">
        <v>4282</v>
      </c>
      <c r="E1725" s="2">
        <v>2019</v>
      </c>
      <c r="F1725" s="3" t="s">
        <v>3604</v>
      </c>
      <c r="G1725" s="2" t="s">
        <v>12</v>
      </c>
      <c r="H1725" s="3" t="s">
        <v>3629</v>
      </c>
      <c r="I1725" s="12" t="s">
        <v>3204</v>
      </c>
    </row>
    <row r="1726" spans="1:9" ht="30" x14ac:dyDescent="0.25">
      <c r="A1726" s="2">
        <v>1723</v>
      </c>
      <c r="B1726" s="3" t="s">
        <v>3606</v>
      </c>
      <c r="C1726" s="3" t="s">
        <v>4283</v>
      </c>
      <c r="D1726" s="3" t="s">
        <v>4283</v>
      </c>
      <c r="E1726" s="2">
        <v>2019</v>
      </c>
      <c r="F1726" s="3" t="s">
        <v>3604</v>
      </c>
      <c r="G1726" s="2" t="s">
        <v>12</v>
      </c>
      <c r="H1726" s="3" t="s">
        <v>3629</v>
      </c>
      <c r="I1726" s="12" t="s">
        <v>3204</v>
      </c>
    </row>
    <row r="1727" spans="1:9" ht="30" x14ac:dyDescent="0.25">
      <c r="A1727" s="2">
        <v>1724</v>
      </c>
      <c r="B1727" s="3" t="s">
        <v>3606</v>
      </c>
      <c r="C1727" s="3" t="s">
        <v>4284</v>
      </c>
      <c r="D1727" s="3" t="s">
        <v>4284</v>
      </c>
      <c r="E1727" s="2">
        <v>2019</v>
      </c>
      <c r="F1727" s="3" t="s">
        <v>3621</v>
      </c>
      <c r="G1727" s="2" t="s">
        <v>12</v>
      </c>
      <c r="H1727" s="3" t="s">
        <v>3622</v>
      </c>
      <c r="I1727" s="12" t="s">
        <v>3204</v>
      </c>
    </row>
    <row r="1728" spans="1:9" ht="30" x14ac:dyDescent="0.25">
      <c r="A1728" s="2">
        <v>1725</v>
      </c>
      <c r="B1728" s="3" t="s">
        <v>3606</v>
      </c>
      <c r="C1728" s="3" t="s">
        <v>4285</v>
      </c>
      <c r="D1728" s="3" t="s">
        <v>4285</v>
      </c>
      <c r="E1728" s="2">
        <v>2019</v>
      </c>
      <c r="F1728" s="3" t="s">
        <v>3621</v>
      </c>
      <c r="G1728" s="2" t="s">
        <v>12</v>
      </c>
      <c r="H1728" s="3" t="s">
        <v>3622</v>
      </c>
      <c r="I1728" s="12" t="s">
        <v>3204</v>
      </c>
    </row>
    <row r="1729" spans="1:9" ht="30" x14ac:dyDescent="0.25">
      <c r="A1729" s="2">
        <v>1726</v>
      </c>
      <c r="B1729" s="3" t="s">
        <v>3606</v>
      </c>
      <c r="C1729" s="3" t="s">
        <v>4286</v>
      </c>
      <c r="D1729" s="3" t="s">
        <v>4286</v>
      </c>
      <c r="E1729" s="2">
        <v>2019</v>
      </c>
      <c r="F1729" s="3" t="s">
        <v>3632</v>
      </c>
      <c r="G1729" s="2" t="s">
        <v>12</v>
      </c>
      <c r="H1729" s="3" t="s">
        <v>3633</v>
      </c>
      <c r="I1729" s="12" t="s">
        <v>3204</v>
      </c>
    </row>
    <row r="1730" spans="1:9" ht="30" x14ac:dyDescent="0.25">
      <c r="A1730" s="2">
        <v>1727</v>
      </c>
      <c r="B1730" s="3" t="s">
        <v>3634</v>
      </c>
      <c r="C1730" s="3" t="s">
        <v>4270</v>
      </c>
      <c r="D1730" s="3" t="s">
        <v>4270</v>
      </c>
      <c r="E1730" s="2">
        <v>2019</v>
      </c>
      <c r="F1730" s="3" t="s">
        <v>3636</v>
      </c>
      <c r="G1730" s="2" t="s">
        <v>12</v>
      </c>
      <c r="H1730" s="3" t="s">
        <v>3635</v>
      </c>
      <c r="I1730" s="12" t="s">
        <v>3204</v>
      </c>
    </row>
    <row r="1731" spans="1:9" ht="30" x14ac:dyDescent="0.25">
      <c r="A1731" s="2">
        <v>1728</v>
      </c>
      <c r="B1731" s="3" t="s">
        <v>3606</v>
      </c>
      <c r="C1731" s="3" t="s">
        <v>4287</v>
      </c>
      <c r="D1731" s="3" t="s">
        <v>4287</v>
      </c>
      <c r="E1731" s="2">
        <v>2019</v>
      </c>
      <c r="F1731" s="3" t="s">
        <v>3632</v>
      </c>
      <c r="G1731" s="2" t="s">
        <v>12</v>
      </c>
      <c r="H1731" s="3" t="s">
        <v>3633</v>
      </c>
      <c r="I1731" s="12" t="s">
        <v>3204</v>
      </c>
    </row>
    <row r="1732" spans="1:9" ht="30" x14ac:dyDescent="0.25">
      <c r="A1732" s="2">
        <v>1729</v>
      </c>
      <c r="B1732" s="3" t="s">
        <v>3606</v>
      </c>
      <c r="C1732" s="3" t="s">
        <v>4276</v>
      </c>
      <c r="D1732" s="3" t="s">
        <v>4276</v>
      </c>
      <c r="E1732" s="2">
        <v>2019</v>
      </c>
      <c r="F1732" s="3" t="s">
        <v>3624</v>
      </c>
      <c r="G1732" s="2" t="s">
        <v>12</v>
      </c>
      <c r="H1732" s="3" t="s">
        <v>3616</v>
      </c>
      <c r="I1732" s="12" t="s">
        <v>3204</v>
      </c>
    </row>
    <row r="1733" spans="1:9" ht="45" x14ac:dyDescent="0.25">
      <c r="A1733" s="2">
        <v>1730</v>
      </c>
      <c r="B1733" s="3" t="s">
        <v>3610</v>
      </c>
      <c r="C1733" s="3" t="s">
        <v>4277</v>
      </c>
      <c r="D1733" s="3" t="s">
        <v>4277</v>
      </c>
      <c r="E1733" s="2">
        <v>2019</v>
      </c>
      <c r="F1733" s="3" t="s">
        <v>3626</v>
      </c>
      <c r="G1733" s="2" t="s">
        <v>12</v>
      </c>
      <c r="H1733" s="3" t="s">
        <v>3627</v>
      </c>
      <c r="I1733" s="12" t="s">
        <v>3204</v>
      </c>
    </row>
    <row r="1734" spans="1:9" ht="30" x14ac:dyDescent="0.25">
      <c r="A1734" s="2">
        <v>1731</v>
      </c>
      <c r="B1734" s="3" t="s">
        <v>3610</v>
      </c>
      <c r="C1734" s="3" t="s">
        <v>4288</v>
      </c>
      <c r="D1734" s="3" t="s">
        <v>4288</v>
      </c>
      <c r="E1734" s="2">
        <v>2019</v>
      </c>
      <c r="F1734" s="3" t="s">
        <v>3643</v>
      </c>
      <c r="G1734" s="2" t="s">
        <v>12</v>
      </c>
      <c r="H1734" s="3" t="s">
        <v>3644</v>
      </c>
      <c r="I1734" s="12" t="s">
        <v>3204</v>
      </c>
    </row>
    <row r="1735" spans="1:9" ht="30" x14ac:dyDescent="0.25">
      <c r="A1735" s="2">
        <v>1732</v>
      </c>
      <c r="B1735" s="3" t="s">
        <v>3606</v>
      </c>
      <c r="C1735" s="3" t="s">
        <v>4289</v>
      </c>
      <c r="D1735" s="3" t="s">
        <v>4289</v>
      </c>
      <c r="E1735" s="2">
        <v>2020</v>
      </c>
      <c r="F1735" s="3" t="s">
        <v>3646</v>
      </c>
      <c r="G1735" s="2" t="s">
        <v>12</v>
      </c>
      <c r="H1735" s="3" t="s">
        <v>3647</v>
      </c>
      <c r="I1735" s="12" t="s">
        <v>3204</v>
      </c>
    </row>
    <row r="1736" spans="1:9" ht="30" x14ac:dyDescent="0.25">
      <c r="A1736" s="2">
        <v>1733</v>
      </c>
      <c r="B1736" s="3" t="s">
        <v>3606</v>
      </c>
      <c r="C1736" s="3" t="s">
        <v>4290</v>
      </c>
      <c r="D1736" s="3" t="s">
        <v>4290</v>
      </c>
      <c r="E1736" s="2">
        <v>2019</v>
      </c>
      <c r="F1736" s="3" t="s">
        <v>3604</v>
      </c>
      <c r="G1736" s="2" t="s">
        <v>12</v>
      </c>
      <c r="H1736" s="3" t="s">
        <v>3630</v>
      </c>
      <c r="I1736" s="12" t="s">
        <v>3204</v>
      </c>
    </row>
    <row r="1737" spans="1:9" ht="30" x14ac:dyDescent="0.25">
      <c r="A1737" s="2">
        <v>1734</v>
      </c>
      <c r="B1737" s="3" t="s">
        <v>3606</v>
      </c>
      <c r="C1737" s="3" t="s">
        <v>4285</v>
      </c>
      <c r="D1737" s="3" t="s">
        <v>4285</v>
      </c>
      <c r="E1737" s="2">
        <v>2019</v>
      </c>
      <c r="F1737" s="3" t="s">
        <v>3621</v>
      </c>
      <c r="G1737" s="2" t="s">
        <v>12</v>
      </c>
      <c r="H1737" s="3" t="s">
        <v>3622</v>
      </c>
      <c r="I1737" s="12" t="s">
        <v>3204</v>
      </c>
    </row>
    <row r="1738" spans="1:9" ht="45" x14ac:dyDescent="0.25">
      <c r="A1738" s="2">
        <v>1735</v>
      </c>
      <c r="B1738" s="3" t="s">
        <v>3606</v>
      </c>
      <c r="C1738" s="3" t="s">
        <v>4291</v>
      </c>
      <c r="D1738" s="3" t="s">
        <v>4291</v>
      </c>
      <c r="E1738" s="2">
        <v>2020</v>
      </c>
      <c r="F1738" s="3" t="s">
        <v>3649</v>
      </c>
      <c r="G1738" s="2" t="s">
        <v>12</v>
      </c>
      <c r="H1738" s="3" t="s">
        <v>3616</v>
      </c>
      <c r="I1738" s="12" t="s">
        <v>3204</v>
      </c>
    </row>
    <row r="1739" spans="1:9" ht="30" x14ac:dyDescent="0.25">
      <c r="A1739" s="2">
        <v>1736</v>
      </c>
      <c r="B1739" s="3" t="s">
        <v>3606</v>
      </c>
      <c r="C1739" s="3" t="s">
        <v>4292</v>
      </c>
      <c r="D1739" s="3" t="s">
        <v>4292</v>
      </c>
      <c r="E1739" s="2">
        <v>2019</v>
      </c>
      <c r="F1739" s="3" t="s">
        <v>3604</v>
      </c>
      <c r="G1739" s="2" t="s">
        <v>12</v>
      </c>
      <c r="H1739" s="3" t="s">
        <v>3629</v>
      </c>
      <c r="I1739" s="12" t="s">
        <v>3204</v>
      </c>
    </row>
    <row r="1740" spans="1:9" ht="30" x14ac:dyDescent="0.25">
      <c r="A1740" s="2">
        <v>1737</v>
      </c>
      <c r="B1740" s="3" t="s">
        <v>3610</v>
      </c>
      <c r="C1740" s="3" t="s">
        <v>4293</v>
      </c>
      <c r="D1740" s="3" t="s">
        <v>4293</v>
      </c>
      <c r="E1740" s="2">
        <v>2019</v>
      </c>
      <c r="F1740" s="3" t="s">
        <v>3621</v>
      </c>
      <c r="G1740" s="2" t="s">
        <v>12</v>
      </c>
      <c r="H1740" s="3" t="s">
        <v>3622</v>
      </c>
      <c r="I1740" s="12" t="s">
        <v>3204</v>
      </c>
    </row>
    <row r="1741" spans="1:9" ht="45" x14ac:dyDescent="0.25">
      <c r="A1741" s="2">
        <v>1738</v>
      </c>
      <c r="B1741" s="3" t="s">
        <v>3610</v>
      </c>
      <c r="C1741" s="3" t="s">
        <v>4294</v>
      </c>
      <c r="D1741" s="3" t="s">
        <v>4294</v>
      </c>
      <c r="E1741" s="2">
        <v>2020</v>
      </c>
      <c r="F1741" s="3" t="s">
        <v>3651</v>
      </c>
      <c r="G1741" s="2" t="s">
        <v>12</v>
      </c>
      <c r="H1741" s="3" t="s">
        <v>3652</v>
      </c>
      <c r="I1741" s="12" t="s">
        <v>3204</v>
      </c>
    </row>
    <row r="1742" spans="1:9" ht="45" x14ac:dyDescent="0.25">
      <c r="A1742" s="2">
        <v>1739</v>
      </c>
      <c r="B1742" s="3" t="s">
        <v>3606</v>
      </c>
      <c r="C1742" s="3" t="s">
        <v>4295</v>
      </c>
      <c r="D1742" s="3" t="s">
        <v>4295</v>
      </c>
      <c r="E1742" s="2">
        <v>2020</v>
      </c>
      <c r="F1742" s="3" t="s">
        <v>3654</v>
      </c>
      <c r="G1742" s="2" t="s">
        <v>12</v>
      </c>
      <c r="H1742" s="3" t="s">
        <v>3655</v>
      </c>
      <c r="I1742" s="12" t="s">
        <v>3204</v>
      </c>
    </row>
    <row r="1743" spans="1:9" ht="30" x14ac:dyDescent="0.25">
      <c r="A1743" s="2">
        <v>1740</v>
      </c>
      <c r="B1743" s="3" t="s">
        <v>3634</v>
      </c>
      <c r="C1743" s="3" t="s">
        <v>4296</v>
      </c>
      <c r="D1743" s="3" t="s">
        <v>4296</v>
      </c>
      <c r="E1743" s="2">
        <v>2019</v>
      </c>
      <c r="F1743" s="3" t="s">
        <v>3604</v>
      </c>
      <c r="G1743" s="2" t="s">
        <v>12</v>
      </c>
      <c r="H1743" s="3" t="s">
        <v>3656</v>
      </c>
      <c r="I1743" s="12" t="s">
        <v>3204</v>
      </c>
    </row>
    <row r="1744" spans="1:9" ht="30" x14ac:dyDescent="0.25">
      <c r="A1744" s="2">
        <v>1741</v>
      </c>
      <c r="B1744" s="3" t="s">
        <v>3634</v>
      </c>
      <c r="C1744" s="3" t="s">
        <v>3659</v>
      </c>
      <c r="D1744" s="3" t="s">
        <v>3659</v>
      </c>
      <c r="E1744" s="2">
        <v>2019</v>
      </c>
      <c r="F1744" s="3" t="s">
        <v>3660</v>
      </c>
      <c r="G1744" s="2" t="s">
        <v>12</v>
      </c>
      <c r="H1744" s="3" t="s">
        <v>3661</v>
      </c>
      <c r="I1744" s="12" t="s">
        <v>3204</v>
      </c>
    </row>
    <row r="1745" spans="1:9" ht="30" x14ac:dyDescent="0.25">
      <c r="A1745" s="2">
        <v>1742</v>
      </c>
      <c r="B1745" s="3" t="s">
        <v>3634</v>
      </c>
      <c r="C1745" s="3" t="s">
        <v>3662</v>
      </c>
      <c r="D1745" s="3" t="s">
        <v>3662</v>
      </c>
      <c r="E1745" s="2">
        <v>2019</v>
      </c>
      <c r="F1745" s="3" t="s">
        <v>3663</v>
      </c>
      <c r="G1745" s="2" t="s">
        <v>12</v>
      </c>
      <c r="H1745" s="3" t="s">
        <v>3661</v>
      </c>
      <c r="I1745" s="12" t="s">
        <v>3204</v>
      </c>
    </row>
    <row r="1746" spans="1:9" ht="45" x14ac:dyDescent="0.25">
      <c r="A1746" s="2">
        <v>1743</v>
      </c>
      <c r="B1746" s="3" t="s">
        <v>3606</v>
      </c>
      <c r="C1746" s="3" t="s">
        <v>4297</v>
      </c>
      <c r="D1746" s="3" t="s">
        <v>4297</v>
      </c>
      <c r="E1746" s="2">
        <v>2020</v>
      </c>
      <c r="F1746" s="3" t="s">
        <v>3646</v>
      </c>
      <c r="G1746" s="2" t="s">
        <v>12</v>
      </c>
      <c r="H1746" s="3" t="s">
        <v>3647</v>
      </c>
      <c r="I1746" s="12" t="s">
        <v>3204</v>
      </c>
    </row>
    <row r="1747" spans="1:9" ht="30" x14ac:dyDescent="0.25">
      <c r="A1747" s="2">
        <v>1744</v>
      </c>
      <c r="B1747" s="3" t="s">
        <v>3606</v>
      </c>
      <c r="C1747" s="3" t="s">
        <v>4298</v>
      </c>
      <c r="D1747" s="3" t="s">
        <v>4298</v>
      </c>
      <c r="E1747" s="2">
        <v>2020</v>
      </c>
      <c r="F1747" s="3" t="s">
        <v>3649</v>
      </c>
      <c r="G1747" s="2" t="s">
        <v>12</v>
      </c>
      <c r="H1747" s="3" t="s">
        <v>3616</v>
      </c>
      <c r="I1747" s="12" t="s">
        <v>3204</v>
      </c>
    </row>
    <row r="1748" spans="1:9" ht="45" x14ac:dyDescent="0.25">
      <c r="A1748" s="2">
        <v>1745</v>
      </c>
      <c r="B1748" s="3" t="s">
        <v>3610</v>
      </c>
      <c r="C1748" s="3" t="s">
        <v>4294</v>
      </c>
      <c r="D1748" s="3" t="s">
        <v>4294</v>
      </c>
      <c r="E1748" s="2">
        <v>2020</v>
      </c>
      <c r="F1748" s="3" t="s">
        <v>3651</v>
      </c>
      <c r="G1748" s="2" t="s">
        <v>12</v>
      </c>
      <c r="H1748" s="3" t="s">
        <v>3672</v>
      </c>
      <c r="I1748" s="12" t="s">
        <v>3204</v>
      </c>
    </row>
    <row r="1749" spans="1:9" ht="45" x14ac:dyDescent="0.25">
      <c r="A1749" s="2">
        <v>1746</v>
      </c>
      <c r="B1749" s="3" t="s">
        <v>3610</v>
      </c>
      <c r="C1749" s="3" t="s">
        <v>4295</v>
      </c>
      <c r="D1749" s="3" t="s">
        <v>4295</v>
      </c>
      <c r="E1749" s="2">
        <v>2021</v>
      </c>
      <c r="F1749" s="3" t="s">
        <v>3673</v>
      </c>
      <c r="G1749" s="2" t="s">
        <v>12</v>
      </c>
      <c r="H1749" s="3" t="s">
        <v>3655</v>
      </c>
      <c r="I1749" s="12" t="s">
        <v>3204</v>
      </c>
    </row>
    <row r="1750" spans="1:9" ht="45" x14ac:dyDescent="0.25">
      <c r="A1750" s="2">
        <v>1747</v>
      </c>
      <c r="B1750" s="3" t="s">
        <v>3610</v>
      </c>
      <c r="C1750" s="3" t="s">
        <v>4299</v>
      </c>
      <c r="D1750" s="3" t="s">
        <v>4299</v>
      </c>
      <c r="E1750" s="2">
        <v>2021</v>
      </c>
      <c r="F1750" s="3" t="s">
        <v>3654</v>
      </c>
      <c r="G1750" s="2" t="s">
        <v>12</v>
      </c>
      <c r="H1750" s="3" t="s">
        <v>3655</v>
      </c>
      <c r="I1750" s="12" t="s">
        <v>3204</v>
      </c>
    </row>
    <row r="1751" spans="1:9" ht="30" x14ac:dyDescent="0.25">
      <c r="A1751" s="2">
        <v>1748</v>
      </c>
      <c r="B1751" s="3" t="s">
        <v>3606</v>
      </c>
      <c r="C1751" s="3" t="s">
        <v>4300</v>
      </c>
      <c r="D1751" s="3" t="s">
        <v>4300</v>
      </c>
      <c r="E1751" s="2">
        <v>2021</v>
      </c>
      <c r="F1751" s="3" t="s">
        <v>3675</v>
      </c>
      <c r="G1751" s="2" t="s">
        <v>12</v>
      </c>
      <c r="H1751" s="3" t="s">
        <v>3676</v>
      </c>
      <c r="I1751" s="12" t="s">
        <v>3204</v>
      </c>
    </row>
    <row r="1752" spans="1:9" ht="30" x14ac:dyDescent="0.25">
      <c r="A1752" s="2">
        <v>1749</v>
      </c>
      <c r="B1752" s="3" t="s">
        <v>3599</v>
      </c>
      <c r="C1752" s="3" t="s">
        <v>4301</v>
      </c>
      <c r="D1752" s="3" t="s">
        <v>4301</v>
      </c>
      <c r="E1752" s="2">
        <v>2021</v>
      </c>
      <c r="F1752" s="3" t="s">
        <v>3678</v>
      </c>
      <c r="G1752" s="2" t="s">
        <v>12</v>
      </c>
      <c r="H1752" s="3" t="s">
        <v>3629</v>
      </c>
      <c r="I1752" s="12" t="s">
        <v>3204</v>
      </c>
    </row>
    <row r="1753" spans="1:9" ht="30" x14ac:dyDescent="0.25">
      <c r="A1753" s="2">
        <v>1750</v>
      </c>
      <c r="B1753" s="3" t="s">
        <v>3634</v>
      </c>
      <c r="C1753" s="3" t="s">
        <v>4302</v>
      </c>
      <c r="D1753" s="3" t="s">
        <v>4302</v>
      </c>
      <c r="E1753" s="2">
        <v>2021</v>
      </c>
      <c r="F1753" s="3" t="s">
        <v>3680</v>
      </c>
      <c r="G1753" s="2" t="s">
        <v>12</v>
      </c>
      <c r="H1753" s="3" t="s">
        <v>3681</v>
      </c>
      <c r="I1753" s="12" t="s">
        <v>3204</v>
      </c>
    </row>
    <row r="1754" spans="1:9" ht="30" x14ac:dyDescent="0.25">
      <c r="A1754" s="2">
        <v>1751</v>
      </c>
      <c r="B1754" s="3" t="s">
        <v>3634</v>
      </c>
      <c r="C1754" s="3" t="s">
        <v>3657</v>
      </c>
      <c r="D1754" s="3" t="s">
        <v>3657</v>
      </c>
      <c r="E1754" s="2">
        <v>2020</v>
      </c>
      <c r="F1754" s="3" t="s">
        <v>3658</v>
      </c>
      <c r="G1754" s="2" t="s">
        <v>12</v>
      </c>
      <c r="H1754" s="3" t="s">
        <v>3598</v>
      </c>
      <c r="I1754" s="12" t="s">
        <v>3204</v>
      </c>
    </row>
    <row r="1755" spans="1:9" ht="30" x14ac:dyDescent="0.25">
      <c r="A1755" s="2">
        <v>1752</v>
      </c>
      <c r="B1755" s="3" t="s">
        <v>3634</v>
      </c>
      <c r="C1755" s="3" t="s">
        <v>3682</v>
      </c>
      <c r="D1755" s="3" t="s">
        <v>3682</v>
      </c>
      <c r="E1755" s="2">
        <v>2020</v>
      </c>
      <c r="F1755" s="3" t="s">
        <v>3683</v>
      </c>
      <c r="G1755" s="2" t="s">
        <v>12</v>
      </c>
      <c r="H1755" s="3" t="s">
        <v>3684</v>
      </c>
      <c r="I1755" s="12" t="s">
        <v>3204</v>
      </c>
    </row>
    <row r="1756" spans="1:9" ht="30" x14ac:dyDescent="0.25">
      <c r="A1756" s="2">
        <v>1753</v>
      </c>
      <c r="B1756" s="3" t="s">
        <v>3634</v>
      </c>
      <c r="C1756" s="3" t="s">
        <v>3685</v>
      </c>
      <c r="D1756" s="3" t="s">
        <v>3685</v>
      </c>
      <c r="E1756" s="2">
        <v>2020</v>
      </c>
      <c r="F1756" s="3" t="s">
        <v>3686</v>
      </c>
      <c r="G1756" s="2" t="s">
        <v>12</v>
      </c>
      <c r="H1756" s="3" t="s">
        <v>3666</v>
      </c>
      <c r="I1756" s="12" t="s">
        <v>3204</v>
      </c>
    </row>
    <row r="1757" spans="1:9" ht="30" x14ac:dyDescent="0.25">
      <c r="A1757" s="2">
        <v>1754</v>
      </c>
      <c r="B1757" s="3" t="s">
        <v>3595</v>
      </c>
      <c r="C1757" s="3" t="s">
        <v>4303</v>
      </c>
      <c r="D1757" s="3" t="s">
        <v>4303</v>
      </c>
      <c r="E1757" s="2">
        <v>2022</v>
      </c>
      <c r="F1757" s="3" t="s">
        <v>3691</v>
      </c>
      <c r="G1757" s="2" t="s">
        <v>12</v>
      </c>
      <c r="H1757" s="3" t="s">
        <v>3692</v>
      </c>
      <c r="I1757" s="12" t="s">
        <v>3204</v>
      </c>
    </row>
    <row r="1758" spans="1:9" ht="30" x14ac:dyDescent="0.25">
      <c r="A1758" s="2">
        <v>1755</v>
      </c>
      <c r="B1758" s="3" t="s">
        <v>3634</v>
      </c>
      <c r="C1758" s="3" t="s">
        <v>4304</v>
      </c>
      <c r="D1758" s="3" t="s">
        <v>4304</v>
      </c>
      <c r="E1758" s="2">
        <v>2022</v>
      </c>
      <c r="F1758" s="3" t="s">
        <v>3678</v>
      </c>
      <c r="G1758" s="2" t="s">
        <v>12</v>
      </c>
      <c r="H1758" s="3" t="s">
        <v>3694</v>
      </c>
      <c r="I1758" s="15" t="s">
        <v>3204</v>
      </c>
    </row>
    <row r="1759" spans="1:9" ht="30" x14ac:dyDescent="0.25">
      <c r="A1759" s="2">
        <v>1756</v>
      </c>
      <c r="B1759" s="3" t="s">
        <v>3634</v>
      </c>
      <c r="C1759" s="3" t="s">
        <v>4305</v>
      </c>
      <c r="D1759" s="3" t="s">
        <v>4305</v>
      </c>
      <c r="E1759" s="2">
        <v>2022</v>
      </c>
      <c r="F1759" s="3" t="s">
        <v>3678</v>
      </c>
      <c r="G1759" s="2" t="s">
        <v>12</v>
      </c>
      <c r="H1759" s="3" t="s">
        <v>3694</v>
      </c>
      <c r="I1759" s="15" t="s">
        <v>3204</v>
      </c>
    </row>
    <row r="1760" spans="1:9" ht="30" x14ac:dyDescent="0.25">
      <c r="A1760" s="2">
        <v>1757</v>
      </c>
      <c r="B1760" s="3" t="s">
        <v>3634</v>
      </c>
      <c r="C1760" s="3" t="s">
        <v>4306</v>
      </c>
      <c r="D1760" s="3" t="s">
        <v>4306</v>
      </c>
      <c r="E1760" s="2">
        <v>2022</v>
      </c>
      <c r="F1760" s="3" t="s">
        <v>3697</v>
      </c>
      <c r="G1760" s="2" t="s">
        <v>12</v>
      </c>
      <c r="H1760" s="3" t="s">
        <v>3698</v>
      </c>
      <c r="I1760" s="15" t="s">
        <v>3204</v>
      </c>
    </row>
    <row r="1761" spans="1:9" ht="165" x14ac:dyDescent="0.25">
      <c r="A1761" s="2">
        <v>1758</v>
      </c>
      <c r="B1761" s="3" t="s">
        <v>3610</v>
      </c>
      <c r="C1761" s="3" t="s">
        <v>3699</v>
      </c>
      <c r="D1761" s="3" t="s">
        <v>3699</v>
      </c>
      <c r="E1761" s="2">
        <v>2022</v>
      </c>
      <c r="F1761" s="3" t="s">
        <v>3700</v>
      </c>
      <c r="G1761" s="2" t="s">
        <v>12</v>
      </c>
      <c r="H1761" s="3" t="s">
        <v>3701</v>
      </c>
      <c r="I1761" s="12" t="s">
        <v>4307</v>
      </c>
    </row>
    <row r="1762" spans="1:9" ht="30" x14ac:dyDescent="0.25">
      <c r="A1762" s="2">
        <v>1759</v>
      </c>
      <c r="B1762" s="3" t="s">
        <v>3606</v>
      </c>
      <c r="C1762" s="3" t="s">
        <v>3702</v>
      </c>
      <c r="D1762" s="3" t="s">
        <v>3702</v>
      </c>
      <c r="E1762" s="2">
        <v>2023</v>
      </c>
      <c r="F1762" s="3" t="s">
        <v>3703</v>
      </c>
      <c r="G1762" s="2" t="s">
        <v>12</v>
      </c>
      <c r="H1762" s="3" t="s">
        <v>3704</v>
      </c>
      <c r="I1762" s="12" t="s">
        <v>3204</v>
      </c>
    </row>
    <row r="1763" spans="1:9" ht="165" x14ac:dyDescent="0.25">
      <c r="A1763" s="2">
        <v>1760</v>
      </c>
      <c r="B1763" s="3" t="s">
        <v>3606</v>
      </c>
      <c r="C1763" s="3" t="s">
        <v>3705</v>
      </c>
      <c r="D1763" s="3" t="s">
        <v>3705</v>
      </c>
      <c r="E1763" s="2">
        <v>2023</v>
      </c>
      <c r="F1763" s="3" t="s">
        <v>3706</v>
      </c>
      <c r="G1763" s="2" t="s">
        <v>12</v>
      </c>
      <c r="H1763" s="3" t="s">
        <v>3704</v>
      </c>
      <c r="I1763" s="12" t="s">
        <v>4307</v>
      </c>
    </row>
    <row r="1764" spans="1:9" ht="30" x14ac:dyDescent="0.25">
      <c r="A1764" s="2">
        <v>1761</v>
      </c>
      <c r="B1764" s="3" t="s">
        <v>3610</v>
      </c>
      <c r="C1764" s="3" t="s">
        <v>4308</v>
      </c>
      <c r="D1764" s="3" t="s">
        <v>4308</v>
      </c>
      <c r="E1764" s="2">
        <v>2023</v>
      </c>
      <c r="F1764" s="3" t="s">
        <v>3708</v>
      </c>
      <c r="G1764" s="2" t="s">
        <v>12</v>
      </c>
      <c r="H1764" s="3" t="s">
        <v>3704</v>
      </c>
      <c r="I1764" s="12" t="s">
        <v>3204</v>
      </c>
    </row>
    <row r="1765" spans="1:9" ht="30" x14ac:dyDescent="0.25">
      <c r="A1765" s="2">
        <v>1762</v>
      </c>
      <c r="B1765" s="3" t="s">
        <v>3599</v>
      </c>
      <c r="C1765" s="3" t="s">
        <v>3709</v>
      </c>
      <c r="D1765" s="3" t="s">
        <v>3709</v>
      </c>
      <c r="E1765" s="2">
        <v>2023</v>
      </c>
      <c r="F1765" s="3">
        <v>0</v>
      </c>
      <c r="G1765" s="2" t="s">
        <v>12</v>
      </c>
      <c r="H1765" s="3" t="s">
        <v>3616</v>
      </c>
      <c r="I1765" s="12" t="s">
        <v>4309</v>
      </c>
    </row>
    <row r="1766" spans="1:9" ht="30" x14ac:dyDescent="0.25">
      <c r="A1766" s="2">
        <v>1763</v>
      </c>
      <c r="B1766" s="3" t="s">
        <v>3599</v>
      </c>
      <c r="C1766" s="3" t="s">
        <v>4310</v>
      </c>
      <c r="D1766" s="3" t="s">
        <v>4310</v>
      </c>
      <c r="E1766" s="2">
        <v>2023</v>
      </c>
      <c r="F1766" s="3" t="s">
        <v>3713</v>
      </c>
      <c r="G1766" s="2" t="s">
        <v>12</v>
      </c>
      <c r="H1766" s="3" t="s">
        <v>3714</v>
      </c>
      <c r="I1766" s="15" t="s">
        <v>3204</v>
      </c>
    </row>
    <row r="1767" spans="1:9" ht="30" x14ac:dyDescent="0.25">
      <c r="A1767" s="2">
        <v>1764</v>
      </c>
      <c r="B1767" s="3" t="s">
        <v>3634</v>
      </c>
      <c r="C1767" s="3" t="s">
        <v>4311</v>
      </c>
      <c r="D1767" s="3" t="s">
        <v>4311</v>
      </c>
      <c r="E1767" s="2">
        <v>2022</v>
      </c>
      <c r="F1767" s="3" t="s">
        <v>3716</v>
      </c>
      <c r="G1767" s="2" t="s">
        <v>12</v>
      </c>
      <c r="H1767" s="3" t="s">
        <v>3717</v>
      </c>
      <c r="I1767" s="15" t="s">
        <v>3204</v>
      </c>
    </row>
    <row r="1768" spans="1:9" ht="45" x14ac:dyDescent="0.25">
      <c r="A1768" s="2">
        <v>1765</v>
      </c>
      <c r="B1768" s="3" t="s">
        <v>3718</v>
      </c>
      <c r="C1768" s="3" t="s">
        <v>3719</v>
      </c>
      <c r="D1768" s="3" t="s">
        <v>3719</v>
      </c>
      <c r="E1768" s="2">
        <v>2019</v>
      </c>
      <c r="F1768" s="3" t="s">
        <v>3720</v>
      </c>
      <c r="G1768" s="2" t="s">
        <v>12</v>
      </c>
      <c r="H1768" s="3" t="s">
        <v>3721</v>
      </c>
      <c r="I1768" s="15" t="s">
        <v>3204</v>
      </c>
    </row>
    <row r="1769" spans="1:9" ht="75" x14ac:dyDescent="0.25">
      <c r="A1769" s="2">
        <v>1766</v>
      </c>
      <c r="B1769" s="3" t="s">
        <v>3722</v>
      </c>
      <c r="C1769" s="3" t="s">
        <v>4312</v>
      </c>
      <c r="D1769" s="3" t="s">
        <v>4312</v>
      </c>
      <c r="E1769" s="2">
        <v>2019</v>
      </c>
      <c r="F1769" s="3" t="s">
        <v>3724</v>
      </c>
      <c r="G1769" s="2" t="s">
        <v>12</v>
      </c>
      <c r="H1769" s="3" t="s">
        <v>3725</v>
      </c>
      <c r="I1769" s="15" t="s">
        <v>3204</v>
      </c>
    </row>
    <row r="1770" spans="1:9" ht="75" x14ac:dyDescent="0.25">
      <c r="A1770" s="2">
        <v>1767</v>
      </c>
      <c r="B1770" s="3" t="s">
        <v>3722</v>
      </c>
      <c r="C1770" s="3" t="s">
        <v>4313</v>
      </c>
      <c r="D1770" s="3" t="s">
        <v>4313</v>
      </c>
      <c r="E1770" s="2">
        <v>2019</v>
      </c>
      <c r="F1770" s="3" t="s">
        <v>4314</v>
      </c>
      <c r="G1770" s="2" t="s">
        <v>12</v>
      </c>
      <c r="H1770" s="3" t="s">
        <v>4315</v>
      </c>
      <c r="I1770" s="15" t="s">
        <v>3204</v>
      </c>
    </row>
    <row r="1771" spans="1:9" x14ac:dyDescent="0.25">
      <c r="A1771" s="2">
        <v>1768</v>
      </c>
      <c r="B1771" s="3" t="s">
        <v>3722</v>
      </c>
      <c r="C1771" s="3" t="s">
        <v>3348</v>
      </c>
      <c r="D1771" s="3" t="s">
        <v>3348</v>
      </c>
      <c r="E1771" s="2">
        <v>2021</v>
      </c>
      <c r="F1771" s="3" t="s">
        <v>3727</v>
      </c>
      <c r="G1771" s="2" t="s">
        <v>12</v>
      </c>
      <c r="H1771" s="3" t="s">
        <v>260</v>
      </c>
      <c r="I1771" s="15" t="s">
        <v>3204</v>
      </c>
    </row>
    <row r="1772" spans="1:9" ht="30" x14ac:dyDescent="0.25">
      <c r="A1772" s="2">
        <v>1769</v>
      </c>
      <c r="B1772" s="3" t="s">
        <v>3722</v>
      </c>
      <c r="C1772" s="3" t="s">
        <v>4316</v>
      </c>
      <c r="D1772" s="3" t="s">
        <v>4316</v>
      </c>
      <c r="E1772" s="2">
        <v>2021</v>
      </c>
      <c r="F1772" s="3" t="s">
        <v>3729</v>
      </c>
      <c r="G1772" s="2" t="s">
        <v>12</v>
      </c>
      <c r="H1772" s="3" t="s">
        <v>3730</v>
      </c>
      <c r="I1772" s="15" t="s">
        <v>3204</v>
      </c>
    </row>
    <row r="1773" spans="1:9" ht="30" x14ac:dyDescent="0.25">
      <c r="A1773" s="2">
        <v>1770</v>
      </c>
      <c r="B1773" s="3" t="s">
        <v>3731</v>
      </c>
      <c r="C1773" s="3" t="s">
        <v>4317</v>
      </c>
      <c r="D1773" s="3" t="s">
        <v>4317</v>
      </c>
      <c r="E1773" s="2">
        <v>2023</v>
      </c>
      <c r="F1773" s="3" t="s">
        <v>3733</v>
      </c>
      <c r="G1773" s="2" t="s">
        <v>12</v>
      </c>
      <c r="H1773" s="3" t="s">
        <v>3734</v>
      </c>
      <c r="I1773" s="12" t="s">
        <v>3204</v>
      </c>
    </row>
    <row r="1774" spans="1:9" ht="60" x14ac:dyDescent="0.25">
      <c r="A1774" s="2">
        <v>1771</v>
      </c>
      <c r="B1774" s="3" t="s">
        <v>4318</v>
      </c>
      <c r="C1774" s="3" t="s">
        <v>4319</v>
      </c>
      <c r="D1774" s="3" t="s">
        <v>4319</v>
      </c>
      <c r="E1774" s="2">
        <v>2022</v>
      </c>
      <c r="F1774" s="3">
        <v>22314243</v>
      </c>
      <c r="G1774" s="2" t="s">
        <v>12</v>
      </c>
      <c r="H1774" s="3" t="s">
        <v>4320</v>
      </c>
      <c r="I1774" s="12" t="s">
        <v>3204</v>
      </c>
    </row>
    <row r="1775" spans="1:9" ht="105" x14ac:dyDescent="0.25">
      <c r="A1775" s="2">
        <v>1772</v>
      </c>
      <c r="B1775" s="3" t="s">
        <v>4321</v>
      </c>
      <c r="C1775" s="3" t="s">
        <v>4322</v>
      </c>
      <c r="D1775" s="3" t="s">
        <v>4322</v>
      </c>
      <c r="E1775" s="2">
        <v>2019</v>
      </c>
      <c r="F1775" s="3" t="s">
        <v>4323</v>
      </c>
      <c r="G1775" s="2" t="s">
        <v>12</v>
      </c>
      <c r="H1775" s="3" t="s">
        <v>3290</v>
      </c>
      <c r="I1775" s="12" t="s">
        <v>3204</v>
      </c>
    </row>
    <row r="1776" spans="1:9" ht="45" x14ac:dyDescent="0.25">
      <c r="A1776" s="2">
        <v>1773</v>
      </c>
      <c r="B1776" s="3" t="s">
        <v>4321</v>
      </c>
      <c r="C1776" s="3" t="s">
        <v>4324</v>
      </c>
      <c r="D1776" s="3" t="s">
        <v>4324</v>
      </c>
      <c r="E1776" s="2">
        <v>2018</v>
      </c>
      <c r="F1776" s="3" t="s">
        <v>4325</v>
      </c>
      <c r="G1776" s="2" t="s">
        <v>12</v>
      </c>
      <c r="H1776" s="3" t="s">
        <v>4326</v>
      </c>
      <c r="I1776" s="12" t="s">
        <v>3204</v>
      </c>
    </row>
    <row r="1777" spans="1:9" ht="60" x14ac:dyDescent="0.25">
      <c r="A1777" s="2">
        <v>1774</v>
      </c>
      <c r="B1777" s="3" t="s">
        <v>4327</v>
      </c>
      <c r="C1777" s="3" t="s">
        <v>2801</v>
      </c>
      <c r="D1777" s="3" t="s">
        <v>2801</v>
      </c>
      <c r="E1777" s="2">
        <v>2019</v>
      </c>
      <c r="F1777" s="3" t="s">
        <v>4328</v>
      </c>
      <c r="G1777" s="2" t="s">
        <v>12</v>
      </c>
      <c r="H1777" s="3" t="s">
        <v>4328</v>
      </c>
      <c r="I1777" s="15" t="s">
        <v>3204</v>
      </c>
    </row>
    <row r="1778" spans="1:9" ht="60" x14ac:dyDescent="0.25">
      <c r="A1778" s="2">
        <v>1775</v>
      </c>
      <c r="B1778" s="3" t="s">
        <v>4327</v>
      </c>
      <c r="C1778" s="3" t="s">
        <v>2801</v>
      </c>
      <c r="D1778" s="3" t="s">
        <v>2801</v>
      </c>
      <c r="E1778" s="2">
        <v>2022</v>
      </c>
      <c r="F1778" s="3" t="s">
        <v>4328</v>
      </c>
      <c r="G1778" s="2" t="s">
        <v>12</v>
      </c>
      <c r="H1778" s="3" t="s">
        <v>4328</v>
      </c>
      <c r="I1778" s="15" t="s">
        <v>3204</v>
      </c>
    </row>
    <row r="1779" spans="1:9" ht="45" x14ac:dyDescent="0.25">
      <c r="A1779" s="2">
        <v>1776</v>
      </c>
      <c r="B1779" s="3" t="s">
        <v>4327</v>
      </c>
      <c r="C1779" s="3" t="s">
        <v>4329</v>
      </c>
      <c r="D1779" s="3" t="s">
        <v>4329</v>
      </c>
      <c r="E1779" s="2">
        <v>2022</v>
      </c>
      <c r="F1779" s="3" t="s">
        <v>4328</v>
      </c>
      <c r="G1779" s="2" t="s">
        <v>12</v>
      </c>
      <c r="H1779" s="3" t="s">
        <v>4328</v>
      </c>
      <c r="I1779" s="15" t="s">
        <v>3204</v>
      </c>
    </row>
    <row r="1780" spans="1:9" ht="60" x14ac:dyDescent="0.25">
      <c r="A1780" s="2">
        <v>1777</v>
      </c>
      <c r="B1780" s="3" t="s">
        <v>3737</v>
      </c>
      <c r="C1780" s="3" t="s">
        <v>4330</v>
      </c>
      <c r="D1780" s="3" t="s">
        <v>4330</v>
      </c>
      <c r="E1780" s="2">
        <v>2019</v>
      </c>
      <c r="F1780" s="3" t="s">
        <v>3739</v>
      </c>
      <c r="G1780" s="2" t="s">
        <v>12</v>
      </c>
      <c r="H1780" s="3" t="s">
        <v>3740</v>
      </c>
      <c r="I1780" s="12" t="s">
        <v>3204</v>
      </c>
    </row>
    <row r="1781" spans="1:9" ht="30" x14ac:dyDescent="0.25">
      <c r="A1781" s="2">
        <v>1778</v>
      </c>
      <c r="B1781" s="3" t="s">
        <v>3741</v>
      </c>
      <c r="C1781" s="3" t="s">
        <v>4331</v>
      </c>
      <c r="D1781" s="3" t="s">
        <v>4331</v>
      </c>
      <c r="E1781" s="2">
        <v>2019</v>
      </c>
      <c r="F1781" s="3" t="s">
        <v>3743</v>
      </c>
      <c r="G1781" s="2" t="s">
        <v>12</v>
      </c>
      <c r="H1781" s="3" t="s">
        <v>3744</v>
      </c>
      <c r="I1781" s="15" t="s">
        <v>3204</v>
      </c>
    </row>
    <row r="1782" spans="1:9" ht="30" x14ac:dyDescent="0.25">
      <c r="A1782" s="2">
        <v>1779</v>
      </c>
      <c r="B1782" s="3" t="s">
        <v>3741</v>
      </c>
      <c r="C1782" s="3" t="s">
        <v>4063</v>
      </c>
      <c r="D1782" s="3" t="s">
        <v>4063</v>
      </c>
      <c r="E1782" s="2">
        <v>2019</v>
      </c>
      <c r="F1782" s="3" t="s">
        <v>3743</v>
      </c>
      <c r="G1782" s="2" t="s">
        <v>12</v>
      </c>
      <c r="H1782" s="3" t="s">
        <v>3744</v>
      </c>
      <c r="I1782" s="15" t="s">
        <v>3204</v>
      </c>
    </row>
    <row r="1783" spans="1:9" ht="45" x14ac:dyDescent="0.25">
      <c r="A1783" s="2">
        <v>1780</v>
      </c>
      <c r="B1783" s="3" t="s">
        <v>3741</v>
      </c>
      <c r="C1783" s="3" t="s">
        <v>4332</v>
      </c>
      <c r="D1783" s="3" t="s">
        <v>4332</v>
      </c>
      <c r="E1783" s="2">
        <v>2019</v>
      </c>
      <c r="F1783" s="3" t="s">
        <v>3743</v>
      </c>
      <c r="G1783" s="2" t="s">
        <v>12</v>
      </c>
      <c r="H1783" s="3" t="s">
        <v>3744</v>
      </c>
      <c r="I1783" s="15" t="s">
        <v>3204</v>
      </c>
    </row>
    <row r="1784" spans="1:9" ht="45" x14ac:dyDescent="0.25">
      <c r="A1784" s="2">
        <v>1781</v>
      </c>
      <c r="B1784" s="3" t="s">
        <v>3741</v>
      </c>
      <c r="C1784" s="3" t="s">
        <v>4333</v>
      </c>
      <c r="D1784" s="3" t="s">
        <v>4333</v>
      </c>
      <c r="E1784" s="2">
        <v>2019</v>
      </c>
      <c r="F1784" s="3" t="s">
        <v>3743</v>
      </c>
      <c r="G1784" s="2" t="s">
        <v>12</v>
      </c>
      <c r="H1784" s="3" t="s">
        <v>3744</v>
      </c>
      <c r="I1784" s="15" t="s">
        <v>3204</v>
      </c>
    </row>
    <row r="1785" spans="1:9" ht="30" x14ac:dyDescent="0.25">
      <c r="A1785" s="2">
        <v>1782</v>
      </c>
      <c r="B1785" s="3" t="s">
        <v>3741</v>
      </c>
      <c r="C1785" s="3" t="s">
        <v>4065</v>
      </c>
      <c r="D1785" s="3" t="s">
        <v>4065</v>
      </c>
      <c r="E1785" s="2">
        <v>2019</v>
      </c>
      <c r="F1785" s="3" t="s">
        <v>3743</v>
      </c>
      <c r="G1785" s="2" t="s">
        <v>12</v>
      </c>
      <c r="H1785" s="3" t="s">
        <v>3744</v>
      </c>
      <c r="I1785" s="15" t="s">
        <v>3204</v>
      </c>
    </row>
    <row r="1786" spans="1:9" ht="45" x14ac:dyDescent="0.25">
      <c r="A1786" s="2">
        <v>1783</v>
      </c>
      <c r="B1786" s="3" t="s">
        <v>3737</v>
      </c>
      <c r="C1786" s="3" t="s">
        <v>4334</v>
      </c>
      <c r="D1786" s="3" t="s">
        <v>4334</v>
      </c>
      <c r="E1786" s="2">
        <v>2020</v>
      </c>
      <c r="F1786" s="3" t="s">
        <v>3747</v>
      </c>
      <c r="G1786" s="2" t="s">
        <v>12</v>
      </c>
      <c r="H1786" s="3" t="s">
        <v>3748</v>
      </c>
      <c r="I1786" s="15" t="s">
        <v>3204</v>
      </c>
    </row>
    <row r="1787" spans="1:9" ht="45" x14ac:dyDescent="0.25">
      <c r="A1787" s="2">
        <v>1784</v>
      </c>
      <c r="B1787" s="3" t="s">
        <v>3737</v>
      </c>
      <c r="C1787" s="3" t="s">
        <v>4335</v>
      </c>
      <c r="D1787" s="3" t="s">
        <v>4335</v>
      </c>
      <c r="E1787" s="2">
        <v>2020</v>
      </c>
      <c r="F1787" s="3" t="s">
        <v>3747</v>
      </c>
      <c r="G1787" s="2" t="s">
        <v>12</v>
      </c>
      <c r="H1787" s="3" t="s">
        <v>3748</v>
      </c>
      <c r="I1787" s="15" t="s">
        <v>3204</v>
      </c>
    </row>
    <row r="1788" spans="1:9" ht="60" x14ac:dyDescent="0.25">
      <c r="A1788" s="2">
        <v>1785</v>
      </c>
      <c r="B1788" s="3" t="s">
        <v>3737</v>
      </c>
      <c r="C1788" s="3" t="s">
        <v>4336</v>
      </c>
      <c r="D1788" s="3" t="s">
        <v>4336</v>
      </c>
      <c r="E1788" s="2">
        <v>2020</v>
      </c>
      <c r="F1788" s="3" t="s">
        <v>3747</v>
      </c>
      <c r="G1788" s="2" t="s">
        <v>12</v>
      </c>
      <c r="H1788" s="3" t="s">
        <v>3748</v>
      </c>
      <c r="I1788" s="15" t="s">
        <v>3204</v>
      </c>
    </row>
    <row r="1789" spans="1:9" ht="30" x14ac:dyDescent="0.25">
      <c r="A1789" s="2">
        <v>1786</v>
      </c>
      <c r="B1789" s="3" t="s">
        <v>3737</v>
      </c>
      <c r="C1789" s="3" t="s">
        <v>4337</v>
      </c>
      <c r="D1789" s="3" t="s">
        <v>4337</v>
      </c>
      <c r="E1789" s="2">
        <v>2020</v>
      </c>
      <c r="F1789" s="3" t="s">
        <v>3751</v>
      </c>
      <c r="G1789" s="2" t="s">
        <v>12</v>
      </c>
      <c r="H1789" s="3" t="s">
        <v>3748</v>
      </c>
      <c r="I1789" s="15" t="s">
        <v>3204</v>
      </c>
    </row>
    <row r="1790" spans="1:9" ht="30" x14ac:dyDescent="0.25">
      <c r="A1790" s="2">
        <v>1787</v>
      </c>
      <c r="B1790" s="3" t="s">
        <v>3737</v>
      </c>
      <c r="C1790" s="3" t="s">
        <v>4058</v>
      </c>
      <c r="D1790" s="3" t="s">
        <v>4058</v>
      </c>
      <c r="E1790" s="2">
        <v>2020</v>
      </c>
      <c r="F1790" s="3" t="s">
        <v>3747</v>
      </c>
      <c r="G1790" s="2" t="s">
        <v>12</v>
      </c>
      <c r="H1790" s="3" t="s">
        <v>3748</v>
      </c>
      <c r="I1790" s="15" t="s">
        <v>3204</v>
      </c>
    </row>
    <row r="1791" spans="1:9" ht="30" x14ac:dyDescent="0.25">
      <c r="A1791" s="2">
        <v>1788</v>
      </c>
      <c r="B1791" s="3" t="s">
        <v>3737</v>
      </c>
      <c r="C1791" s="3" t="s">
        <v>4338</v>
      </c>
      <c r="D1791" s="3" t="s">
        <v>4338</v>
      </c>
      <c r="E1791" s="2">
        <v>2020</v>
      </c>
      <c r="F1791" s="3" t="s">
        <v>3747</v>
      </c>
      <c r="G1791" s="2" t="s">
        <v>12</v>
      </c>
      <c r="H1791" s="3" t="s">
        <v>3753</v>
      </c>
      <c r="I1791" s="15" t="s">
        <v>3204</v>
      </c>
    </row>
    <row r="1792" spans="1:9" ht="30" x14ac:dyDescent="0.25">
      <c r="A1792" s="2">
        <v>1789</v>
      </c>
      <c r="B1792" s="3" t="s">
        <v>3737</v>
      </c>
      <c r="C1792" s="3" t="s">
        <v>4339</v>
      </c>
      <c r="D1792" s="3" t="s">
        <v>4339</v>
      </c>
      <c r="E1792" s="2">
        <v>2020</v>
      </c>
      <c r="F1792" s="3" t="s">
        <v>3747</v>
      </c>
      <c r="G1792" s="2" t="s">
        <v>12</v>
      </c>
      <c r="H1792" s="3" t="s">
        <v>3753</v>
      </c>
      <c r="I1792" s="15" t="s">
        <v>3204</v>
      </c>
    </row>
    <row r="1793" spans="1:9" ht="45" x14ac:dyDescent="0.25">
      <c r="A1793" s="2">
        <v>1790</v>
      </c>
      <c r="B1793" s="3" t="s">
        <v>3737</v>
      </c>
      <c r="C1793" s="3" t="s">
        <v>4340</v>
      </c>
      <c r="D1793" s="3" t="s">
        <v>4340</v>
      </c>
      <c r="E1793" s="2">
        <v>2020</v>
      </c>
      <c r="F1793" s="3" t="s">
        <v>3747</v>
      </c>
      <c r="G1793" s="2" t="s">
        <v>12</v>
      </c>
      <c r="H1793" s="3" t="s">
        <v>3748</v>
      </c>
      <c r="I1793" s="15" t="s">
        <v>3204</v>
      </c>
    </row>
    <row r="1794" spans="1:9" ht="30" x14ac:dyDescent="0.25">
      <c r="A1794" s="2">
        <v>1791</v>
      </c>
      <c r="B1794" s="3" t="s">
        <v>3737</v>
      </c>
      <c r="C1794" s="3" t="s">
        <v>4341</v>
      </c>
      <c r="D1794" s="3" t="s">
        <v>4341</v>
      </c>
      <c r="E1794" s="2">
        <v>2020</v>
      </c>
      <c r="F1794" s="3" t="s">
        <v>3747</v>
      </c>
      <c r="G1794" s="2" t="s">
        <v>12</v>
      </c>
      <c r="H1794" s="3" t="s">
        <v>3748</v>
      </c>
      <c r="I1794" s="15" t="s">
        <v>3204</v>
      </c>
    </row>
    <row r="1795" spans="1:9" ht="45" x14ac:dyDescent="0.25">
      <c r="A1795" s="2">
        <v>1792</v>
      </c>
      <c r="B1795" s="3" t="s">
        <v>3737</v>
      </c>
      <c r="C1795" s="3" t="s">
        <v>4342</v>
      </c>
      <c r="D1795" s="3" t="s">
        <v>4342</v>
      </c>
      <c r="E1795" s="2">
        <v>2020</v>
      </c>
      <c r="F1795" s="3" t="s">
        <v>3747</v>
      </c>
      <c r="G1795" s="2" t="s">
        <v>12</v>
      </c>
      <c r="H1795" s="3" t="s">
        <v>3753</v>
      </c>
      <c r="I1795" s="15" t="s">
        <v>3204</v>
      </c>
    </row>
    <row r="1796" spans="1:9" ht="30" x14ac:dyDescent="0.25">
      <c r="A1796" s="2">
        <v>1793</v>
      </c>
      <c r="B1796" s="3" t="s">
        <v>3737</v>
      </c>
      <c r="C1796" s="3" t="s">
        <v>4343</v>
      </c>
      <c r="D1796" s="3" t="s">
        <v>4343</v>
      </c>
      <c r="E1796" s="2">
        <v>2020</v>
      </c>
      <c r="F1796" s="3" t="s">
        <v>3747</v>
      </c>
      <c r="G1796" s="2" t="s">
        <v>12</v>
      </c>
      <c r="H1796" s="3" t="s">
        <v>3753</v>
      </c>
      <c r="I1796" s="15" t="s">
        <v>3204</v>
      </c>
    </row>
    <row r="1797" spans="1:9" ht="45" x14ac:dyDescent="0.25">
      <c r="A1797" s="2">
        <v>1794</v>
      </c>
      <c r="B1797" s="3" t="s">
        <v>3737</v>
      </c>
      <c r="C1797" s="3" t="s">
        <v>4344</v>
      </c>
      <c r="D1797" s="3" t="s">
        <v>4344</v>
      </c>
      <c r="E1797" s="2">
        <v>2020</v>
      </c>
      <c r="F1797" s="3" t="s">
        <v>3747</v>
      </c>
      <c r="G1797" s="2" t="s">
        <v>12</v>
      </c>
      <c r="H1797" s="3" t="s">
        <v>3753</v>
      </c>
      <c r="I1797" s="15" t="s">
        <v>3204</v>
      </c>
    </row>
    <row r="1798" spans="1:9" ht="30" x14ac:dyDescent="0.25">
      <c r="A1798" s="2">
        <v>1795</v>
      </c>
      <c r="B1798" s="3" t="s">
        <v>3737</v>
      </c>
      <c r="C1798" s="3" t="s">
        <v>4345</v>
      </c>
      <c r="D1798" s="3" t="s">
        <v>4345</v>
      </c>
      <c r="E1798" s="2">
        <v>2020</v>
      </c>
      <c r="F1798" s="3" t="s">
        <v>3747</v>
      </c>
      <c r="G1798" s="2" t="s">
        <v>12</v>
      </c>
      <c r="H1798" s="3" t="s">
        <v>3753</v>
      </c>
      <c r="I1798" s="15" t="s">
        <v>3204</v>
      </c>
    </row>
    <row r="1799" spans="1:9" ht="30" x14ac:dyDescent="0.25">
      <c r="A1799" s="2">
        <v>1796</v>
      </c>
      <c r="B1799" s="3" t="s">
        <v>3737</v>
      </c>
      <c r="C1799" s="3" t="s">
        <v>4346</v>
      </c>
      <c r="D1799" s="3" t="s">
        <v>4346</v>
      </c>
      <c r="E1799" s="2">
        <v>2020</v>
      </c>
      <c r="F1799" s="3" t="s">
        <v>3747</v>
      </c>
      <c r="G1799" s="2" t="s">
        <v>12</v>
      </c>
      <c r="H1799" s="3" t="s">
        <v>3748</v>
      </c>
      <c r="I1799" s="15" t="s">
        <v>3204</v>
      </c>
    </row>
    <row r="1800" spans="1:9" ht="30" x14ac:dyDescent="0.25">
      <c r="A1800" s="2">
        <v>1797</v>
      </c>
      <c r="B1800" s="3" t="s">
        <v>3737</v>
      </c>
      <c r="C1800" s="3" t="s">
        <v>4347</v>
      </c>
      <c r="D1800" s="3" t="s">
        <v>4347</v>
      </c>
      <c r="E1800" s="2">
        <v>2020</v>
      </c>
      <c r="F1800" s="3" t="s">
        <v>3747</v>
      </c>
      <c r="G1800" s="2" t="s">
        <v>12</v>
      </c>
      <c r="H1800" s="3" t="s">
        <v>3753</v>
      </c>
      <c r="I1800" s="15" t="s">
        <v>3204</v>
      </c>
    </row>
    <row r="1801" spans="1:9" ht="30" x14ac:dyDescent="0.25">
      <c r="A1801" s="2">
        <v>1798</v>
      </c>
      <c r="B1801" s="3" t="s">
        <v>3737</v>
      </c>
      <c r="C1801" s="3" t="s">
        <v>4348</v>
      </c>
      <c r="D1801" s="3" t="s">
        <v>4348</v>
      </c>
      <c r="E1801" s="2">
        <v>2021</v>
      </c>
      <c r="F1801" s="3" t="s">
        <v>3756</v>
      </c>
      <c r="G1801" s="2" t="s">
        <v>12</v>
      </c>
      <c r="H1801" s="3" t="s">
        <v>3748</v>
      </c>
      <c r="I1801" s="15" t="s">
        <v>3204</v>
      </c>
    </row>
    <row r="1802" spans="1:9" ht="30" x14ac:dyDescent="0.25">
      <c r="A1802" s="2">
        <v>1799</v>
      </c>
      <c r="B1802" s="3" t="s">
        <v>3737</v>
      </c>
      <c r="C1802" s="3" t="s">
        <v>4349</v>
      </c>
      <c r="D1802" s="3" t="s">
        <v>4349</v>
      </c>
      <c r="E1802" s="2">
        <v>2021</v>
      </c>
      <c r="F1802" s="3" t="s">
        <v>3756</v>
      </c>
      <c r="G1802" s="2" t="s">
        <v>12</v>
      </c>
      <c r="H1802" s="3" t="s">
        <v>3748</v>
      </c>
      <c r="I1802" s="15" t="s">
        <v>3204</v>
      </c>
    </row>
    <row r="1803" spans="1:9" ht="30" x14ac:dyDescent="0.25">
      <c r="A1803" s="2">
        <v>1800</v>
      </c>
      <c r="B1803" s="3" t="s">
        <v>3737</v>
      </c>
      <c r="C1803" s="3" t="s">
        <v>4350</v>
      </c>
      <c r="D1803" s="3" t="s">
        <v>4350</v>
      </c>
      <c r="E1803" s="2">
        <v>2021</v>
      </c>
      <c r="F1803" s="3" t="s">
        <v>3756</v>
      </c>
      <c r="G1803" s="2" t="s">
        <v>12</v>
      </c>
      <c r="H1803" s="3" t="s">
        <v>3748</v>
      </c>
      <c r="I1803" s="15" t="s">
        <v>3204</v>
      </c>
    </row>
    <row r="1804" spans="1:9" ht="30" x14ac:dyDescent="0.25">
      <c r="A1804" s="2">
        <v>1801</v>
      </c>
      <c r="B1804" s="3" t="s">
        <v>3737</v>
      </c>
      <c r="C1804" s="3" t="s">
        <v>4351</v>
      </c>
      <c r="D1804" s="3" t="s">
        <v>4351</v>
      </c>
      <c r="E1804" s="2">
        <v>2021</v>
      </c>
      <c r="F1804" s="3" t="s">
        <v>3756</v>
      </c>
      <c r="G1804" s="2" t="s">
        <v>12</v>
      </c>
      <c r="H1804" s="3" t="s">
        <v>3748</v>
      </c>
      <c r="I1804" s="15" t="s">
        <v>3204</v>
      </c>
    </row>
    <row r="1805" spans="1:9" ht="45" x14ac:dyDescent="0.25">
      <c r="A1805" s="2">
        <v>1802</v>
      </c>
      <c r="B1805" s="3" t="s">
        <v>3737</v>
      </c>
      <c r="C1805" s="3" t="s">
        <v>4352</v>
      </c>
      <c r="D1805" s="3" t="s">
        <v>4352</v>
      </c>
      <c r="E1805" s="2">
        <v>2022</v>
      </c>
      <c r="F1805" s="3">
        <v>9788170197195</v>
      </c>
      <c r="G1805" s="2" t="s">
        <v>12</v>
      </c>
      <c r="H1805" s="3" t="s">
        <v>3758</v>
      </c>
      <c r="I1805" s="12" t="s">
        <v>3204</v>
      </c>
    </row>
    <row r="1806" spans="1:9" ht="45" x14ac:dyDescent="0.25">
      <c r="A1806" s="2">
        <v>1803</v>
      </c>
      <c r="B1806" s="3" t="s">
        <v>3737</v>
      </c>
      <c r="C1806" s="3" t="s">
        <v>4353</v>
      </c>
      <c r="D1806" s="3" t="s">
        <v>4353</v>
      </c>
      <c r="E1806" s="2">
        <v>2022</v>
      </c>
      <c r="F1806" s="3">
        <v>9788170197195</v>
      </c>
      <c r="G1806" s="2" t="s">
        <v>12</v>
      </c>
      <c r="H1806" s="3" t="s">
        <v>3758</v>
      </c>
      <c r="I1806" s="15" t="s">
        <v>3204</v>
      </c>
    </row>
    <row r="1807" spans="1:9" ht="45" x14ac:dyDescent="0.25">
      <c r="A1807" s="2">
        <v>1804</v>
      </c>
      <c r="B1807" s="3" t="s">
        <v>3737</v>
      </c>
      <c r="C1807" s="3" t="s">
        <v>4354</v>
      </c>
      <c r="D1807" s="3" t="s">
        <v>4354</v>
      </c>
      <c r="E1807" s="2">
        <v>2022</v>
      </c>
      <c r="F1807" s="3">
        <v>9788170197195</v>
      </c>
      <c r="G1807" s="2" t="s">
        <v>12</v>
      </c>
      <c r="H1807" s="3" t="s">
        <v>3758</v>
      </c>
      <c r="I1807" s="15" t="s">
        <v>3204</v>
      </c>
    </row>
    <row r="1808" spans="1:9" ht="45" x14ac:dyDescent="0.25">
      <c r="A1808" s="2">
        <v>1805</v>
      </c>
      <c r="B1808" s="3" t="s">
        <v>3737</v>
      </c>
      <c r="C1808" s="3" t="s">
        <v>4355</v>
      </c>
      <c r="D1808" s="3" t="s">
        <v>4355</v>
      </c>
      <c r="E1808" s="2">
        <v>2022</v>
      </c>
      <c r="F1808" s="3" t="s">
        <v>3760</v>
      </c>
      <c r="G1808" s="2" t="s">
        <v>12</v>
      </c>
      <c r="H1808" s="3" t="s">
        <v>3753</v>
      </c>
      <c r="I1808" s="15" t="s">
        <v>3204</v>
      </c>
    </row>
    <row r="1809" spans="1:9" ht="45" x14ac:dyDescent="0.25">
      <c r="A1809" s="2">
        <v>1806</v>
      </c>
      <c r="B1809" s="3" t="s">
        <v>3737</v>
      </c>
      <c r="C1809" s="3" t="s">
        <v>4356</v>
      </c>
      <c r="D1809" s="3" t="s">
        <v>4356</v>
      </c>
      <c r="E1809" s="2">
        <v>2022</v>
      </c>
      <c r="F1809" s="3" t="s">
        <v>3760</v>
      </c>
      <c r="G1809" s="2" t="s">
        <v>12</v>
      </c>
      <c r="H1809" s="3" t="s">
        <v>3748</v>
      </c>
      <c r="I1809" s="15" t="s">
        <v>3204</v>
      </c>
    </row>
    <row r="1810" spans="1:9" ht="30" x14ac:dyDescent="0.25">
      <c r="A1810" s="2">
        <v>1807</v>
      </c>
      <c r="B1810" s="3" t="s">
        <v>3737</v>
      </c>
      <c r="C1810" s="3" t="s">
        <v>4357</v>
      </c>
      <c r="D1810" s="3" t="s">
        <v>4357</v>
      </c>
      <c r="E1810" s="2">
        <v>2022</v>
      </c>
      <c r="F1810" s="3" t="s">
        <v>3760</v>
      </c>
      <c r="G1810" s="2" t="s">
        <v>12</v>
      </c>
      <c r="H1810" s="3" t="s">
        <v>3748</v>
      </c>
      <c r="I1810" s="15" t="s">
        <v>3204</v>
      </c>
    </row>
    <row r="1811" spans="1:9" ht="30" x14ac:dyDescent="0.25">
      <c r="A1811" s="2">
        <v>1808</v>
      </c>
      <c r="B1811" s="3" t="s">
        <v>3737</v>
      </c>
      <c r="C1811" s="3" t="s">
        <v>4358</v>
      </c>
      <c r="D1811" s="3" t="s">
        <v>4358</v>
      </c>
      <c r="E1811" s="2">
        <v>2022</v>
      </c>
      <c r="F1811" s="3">
        <v>9788170119795</v>
      </c>
      <c r="G1811" s="2" t="s">
        <v>12</v>
      </c>
      <c r="H1811" s="3" t="s">
        <v>3763</v>
      </c>
      <c r="I1811" s="15" t="s">
        <v>3204</v>
      </c>
    </row>
    <row r="1812" spans="1:9" ht="30" x14ac:dyDescent="0.25">
      <c r="A1812" s="2">
        <v>1809</v>
      </c>
      <c r="B1812" s="3" t="s">
        <v>3737</v>
      </c>
      <c r="C1812" s="3" t="s">
        <v>4359</v>
      </c>
      <c r="D1812" s="3" t="s">
        <v>4359</v>
      </c>
      <c r="E1812" s="2">
        <v>2022</v>
      </c>
      <c r="F1812" s="3" t="s">
        <v>3765</v>
      </c>
      <c r="G1812" s="2" t="s">
        <v>12</v>
      </c>
      <c r="H1812" s="3" t="s">
        <v>3748</v>
      </c>
      <c r="I1812" s="15" t="s">
        <v>3204</v>
      </c>
    </row>
    <row r="1813" spans="1:9" ht="30" x14ac:dyDescent="0.25">
      <c r="A1813" s="2">
        <v>1810</v>
      </c>
      <c r="B1813" s="3" t="s">
        <v>3737</v>
      </c>
      <c r="C1813" s="3" t="s">
        <v>4360</v>
      </c>
      <c r="D1813" s="3" t="s">
        <v>4360</v>
      </c>
      <c r="E1813" s="2">
        <v>2022</v>
      </c>
      <c r="F1813" s="3" t="s">
        <v>3765</v>
      </c>
      <c r="G1813" s="2" t="s">
        <v>12</v>
      </c>
      <c r="H1813" s="3" t="s">
        <v>3748</v>
      </c>
      <c r="I1813" s="15" t="s">
        <v>3204</v>
      </c>
    </row>
    <row r="1814" spans="1:9" ht="30" x14ac:dyDescent="0.25">
      <c r="A1814" s="2">
        <v>1811</v>
      </c>
      <c r="B1814" s="3" t="s">
        <v>3737</v>
      </c>
      <c r="C1814" s="3" t="s">
        <v>4361</v>
      </c>
      <c r="D1814" s="3" t="s">
        <v>4361</v>
      </c>
      <c r="E1814" s="2">
        <v>2022</v>
      </c>
      <c r="F1814" s="3" t="s">
        <v>3765</v>
      </c>
      <c r="G1814" s="2" t="s">
        <v>12</v>
      </c>
      <c r="H1814" s="3" t="s">
        <v>3748</v>
      </c>
      <c r="I1814" s="15" t="s">
        <v>3204</v>
      </c>
    </row>
    <row r="1815" spans="1:9" ht="30" x14ac:dyDescent="0.25">
      <c r="A1815" s="2">
        <v>1812</v>
      </c>
      <c r="B1815" s="3" t="s">
        <v>3737</v>
      </c>
      <c r="C1815" s="3" t="s">
        <v>4362</v>
      </c>
      <c r="D1815" s="3" t="s">
        <v>4362</v>
      </c>
      <c r="E1815" s="2">
        <v>2022</v>
      </c>
      <c r="F1815" s="3" t="s">
        <v>3765</v>
      </c>
      <c r="G1815" s="2" t="s">
        <v>12</v>
      </c>
      <c r="H1815" s="3" t="s">
        <v>3748</v>
      </c>
      <c r="I1815" s="15" t="s">
        <v>3204</v>
      </c>
    </row>
    <row r="1816" spans="1:9" ht="30" x14ac:dyDescent="0.25">
      <c r="A1816" s="2">
        <v>1813</v>
      </c>
      <c r="B1816" s="3" t="s">
        <v>3737</v>
      </c>
      <c r="C1816" s="3" t="s">
        <v>4363</v>
      </c>
      <c r="D1816" s="3" t="s">
        <v>4363</v>
      </c>
      <c r="E1816" s="2">
        <v>2022</v>
      </c>
      <c r="F1816" s="3" t="s">
        <v>3765</v>
      </c>
      <c r="G1816" s="2" t="s">
        <v>12</v>
      </c>
      <c r="H1816" s="3" t="s">
        <v>3748</v>
      </c>
      <c r="I1816" s="15" t="s">
        <v>3204</v>
      </c>
    </row>
    <row r="1817" spans="1:9" ht="45" x14ac:dyDescent="0.25">
      <c r="A1817" s="2">
        <v>1814</v>
      </c>
      <c r="B1817" s="3" t="s">
        <v>3737</v>
      </c>
      <c r="C1817" s="3" t="s">
        <v>4364</v>
      </c>
      <c r="D1817" s="3" t="s">
        <v>4364</v>
      </c>
      <c r="E1817" s="2">
        <v>2023</v>
      </c>
      <c r="F1817" s="3" t="s">
        <v>3767</v>
      </c>
      <c r="G1817" s="2" t="s">
        <v>12</v>
      </c>
      <c r="H1817" s="3" t="s">
        <v>3768</v>
      </c>
      <c r="I1817" s="15" t="s">
        <v>3204</v>
      </c>
    </row>
    <row r="1818" spans="1:9" ht="60" x14ac:dyDescent="0.25">
      <c r="A1818" s="2">
        <v>1815</v>
      </c>
      <c r="B1818" s="3" t="s">
        <v>3737</v>
      </c>
      <c r="C1818" s="3" t="s">
        <v>4365</v>
      </c>
      <c r="D1818" s="3" t="s">
        <v>4365</v>
      </c>
      <c r="E1818" s="2">
        <v>2023</v>
      </c>
      <c r="F1818" s="3">
        <v>9788170197195</v>
      </c>
      <c r="G1818" s="2" t="s">
        <v>12</v>
      </c>
      <c r="H1818" s="3" t="s">
        <v>3758</v>
      </c>
      <c r="I1818" s="15" t="s">
        <v>3204</v>
      </c>
    </row>
    <row r="1819" spans="1:9" ht="45" x14ac:dyDescent="0.25">
      <c r="A1819" s="2">
        <v>1816</v>
      </c>
      <c r="B1819" s="3" t="s">
        <v>3737</v>
      </c>
      <c r="C1819" s="3" t="s">
        <v>4366</v>
      </c>
      <c r="D1819" s="3" t="s">
        <v>4366</v>
      </c>
      <c r="E1819" s="2">
        <v>2023</v>
      </c>
      <c r="F1819" s="3">
        <v>9788170197195</v>
      </c>
      <c r="G1819" s="2" t="s">
        <v>12</v>
      </c>
      <c r="H1819" s="3" t="s">
        <v>3758</v>
      </c>
      <c r="I1819" s="15" t="s">
        <v>3204</v>
      </c>
    </row>
    <row r="1820" spans="1:9" ht="45" x14ac:dyDescent="0.25">
      <c r="A1820" s="2">
        <v>1817</v>
      </c>
      <c r="B1820" s="3" t="s">
        <v>3737</v>
      </c>
      <c r="C1820" s="3" t="s">
        <v>4367</v>
      </c>
      <c r="D1820" s="3" t="s">
        <v>4367</v>
      </c>
      <c r="E1820" s="2">
        <v>2023</v>
      </c>
      <c r="F1820" s="3">
        <v>9788170197195</v>
      </c>
      <c r="G1820" s="2" t="s">
        <v>12</v>
      </c>
      <c r="H1820" s="3" t="s">
        <v>3758</v>
      </c>
      <c r="I1820" s="15" t="s">
        <v>3204</v>
      </c>
    </row>
    <row r="1821" spans="1:9" ht="30" x14ac:dyDescent="0.25">
      <c r="A1821" s="2">
        <v>1818</v>
      </c>
      <c r="B1821" s="3" t="s">
        <v>3737</v>
      </c>
      <c r="C1821" s="3" t="s">
        <v>4368</v>
      </c>
      <c r="D1821" s="3" t="s">
        <v>4368</v>
      </c>
      <c r="E1821" s="2">
        <v>2022</v>
      </c>
      <c r="F1821" s="3" t="s">
        <v>3760</v>
      </c>
      <c r="G1821" s="2" t="s">
        <v>12</v>
      </c>
      <c r="H1821" s="3" t="s">
        <v>3748</v>
      </c>
      <c r="I1821" s="15" t="s">
        <v>3204</v>
      </c>
    </row>
    <row r="1822" spans="1:9" ht="45" x14ac:dyDescent="0.25">
      <c r="A1822" s="2">
        <v>1819</v>
      </c>
      <c r="B1822" s="3" t="s">
        <v>3737</v>
      </c>
      <c r="C1822" s="3" t="s">
        <v>4369</v>
      </c>
      <c r="D1822" s="3" t="s">
        <v>4369</v>
      </c>
      <c r="E1822" s="2">
        <v>2022</v>
      </c>
      <c r="F1822" s="3" t="s">
        <v>3760</v>
      </c>
      <c r="G1822" s="2" t="s">
        <v>12</v>
      </c>
      <c r="H1822" s="3" t="s">
        <v>3748</v>
      </c>
      <c r="I1822" s="15" t="s">
        <v>3204</v>
      </c>
    </row>
    <row r="1823" spans="1:9" ht="45" x14ac:dyDescent="0.25">
      <c r="A1823" s="2">
        <v>1820</v>
      </c>
      <c r="B1823" s="3" t="s">
        <v>3737</v>
      </c>
      <c r="C1823" s="3" t="s">
        <v>4370</v>
      </c>
      <c r="D1823" s="3" t="s">
        <v>4370</v>
      </c>
      <c r="E1823" s="2">
        <v>2023</v>
      </c>
      <c r="F1823" s="3" t="s">
        <v>3771</v>
      </c>
      <c r="G1823" s="2" t="s">
        <v>12</v>
      </c>
      <c r="H1823" s="3" t="s">
        <v>3772</v>
      </c>
      <c r="I1823" s="15" t="s">
        <v>3204</v>
      </c>
    </row>
    <row r="1824" spans="1:9" ht="45" x14ac:dyDescent="0.25">
      <c r="A1824" s="2">
        <v>1821</v>
      </c>
      <c r="B1824" s="3" t="s">
        <v>3737</v>
      </c>
      <c r="C1824" s="3" t="s">
        <v>4371</v>
      </c>
      <c r="D1824" s="3" t="s">
        <v>4371</v>
      </c>
      <c r="E1824" s="2">
        <v>2023</v>
      </c>
      <c r="F1824" s="3" t="s">
        <v>3767</v>
      </c>
      <c r="G1824" s="2" t="s">
        <v>12</v>
      </c>
      <c r="H1824" s="3" t="s">
        <v>3768</v>
      </c>
      <c r="I1824" s="15" t="s">
        <v>3204</v>
      </c>
    </row>
    <row r="1825" spans="1:9" ht="45" x14ac:dyDescent="0.25">
      <c r="A1825" s="2">
        <v>1822</v>
      </c>
      <c r="B1825" s="3" t="s">
        <v>3737</v>
      </c>
      <c r="C1825" s="3" t="s">
        <v>4372</v>
      </c>
      <c r="D1825" s="3" t="s">
        <v>4372</v>
      </c>
      <c r="E1825" s="2">
        <v>2023</v>
      </c>
      <c r="F1825" s="3" t="s">
        <v>3767</v>
      </c>
      <c r="G1825" s="2" t="s">
        <v>12</v>
      </c>
      <c r="H1825" s="3" t="s">
        <v>3768</v>
      </c>
      <c r="I1825" s="15" t="s">
        <v>3204</v>
      </c>
    </row>
    <row r="1826" spans="1:9" ht="45" x14ac:dyDescent="0.25">
      <c r="A1826" s="2">
        <v>1823</v>
      </c>
      <c r="B1826" s="3" t="s">
        <v>3737</v>
      </c>
      <c r="C1826" s="3" t="s">
        <v>4373</v>
      </c>
      <c r="D1826" s="3" t="s">
        <v>4373</v>
      </c>
      <c r="E1826" s="2">
        <v>2023</v>
      </c>
      <c r="F1826" s="3" t="s">
        <v>3767</v>
      </c>
      <c r="G1826" s="2" t="s">
        <v>12</v>
      </c>
      <c r="H1826" s="3" t="s">
        <v>3768</v>
      </c>
      <c r="I1826" s="15" t="s">
        <v>3204</v>
      </c>
    </row>
    <row r="1827" spans="1:9" ht="45" x14ac:dyDescent="0.25">
      <c r="A1827" s="2">
        <v>1824</v>
      </c>
      <c r="B1827" s="3" t="s">
        <v>3737</v>
      </c>
      <c r="C1827" s="3" t="s">
        <v>4374</v>
      </c>
      <c r="D1827" s="3" t="s">
        <v>4374</v>
      </c>
      <c r="E1827" s="2">
        <v>2023</v>
      </c>
      <c r="F1827" s="3" t="s">
        <v>3767</v>
      </c>
      <c r="G1827" s="2" t="s">
        <v>12</v>
      </c>
      <c r="H1827" s="3" t="s">
        <v>3768</v>
      </c>
      <c r="I1827" s="15" t="s">
        <v>3204</v>
      </c>
    </row>
    <row r="1828" spans="1:9" ht="45" x14ac:dyDescent="0.25">
      <c r="A1828" s="2">
        <v>1825</v>
      </c>
      <c r="B1828" s="3" t="s">
        <v>3737</v>
      </c>
      <c r="C1828" s="3" t="s">
        <v>4375</v>
      </c>
      <c r="D1828" s="3" t="s">
        <v>4375</v>
      </c>
      <c r="E1828" s="2">
        <v>2023</v>
      </c>
      <c r="F1828" s="3" t="s">
        <v>3767</v>
      </c>
      <c r="G1828" s="2" t="s">
        <v>12</v>
      </c>
      <c r="H1828" s="3" t="s">
        <v>3768</v>
      </c>
      <c r="I1828" s="15" t="s">
        <v>3204</v>
      </c>
    </row>
    <row r="1829" spans="1:9" ht="45" x14ac:dyDescent="0.25">
      <c r="A1829" s="2">
        <v>1826</v>
      </c>
      <c r="B1829" s="3" t="s">
        <v>3737</v>
      </c>
      <c r="C1829" s="3" t="s">
        <v>4354</v>
      </c>
      <c r="D1829" s="3" t="s">
        <v>4354</v>
      </c>
      <c r="E1829" s="2">
        <v>2023</v>
      </c>
      <c r="F1829" s="3" t="s">
        <v>3767</v>
      </c>
      <c r="G1829" s="2" t="s">
        <v>12</v>
      </c>
      <c r="H1829" s="3" t="s">
        <v>3768</v>
      </c>
      <c r="I1829" s="15" t="s">
        <v>3204</v>
      </c>
    </row>
    <row r="1830" spans="1:9" ht="45" x14ac:dyDescent="0.25">
      <c r="A1830" s="2">
        <v>1827</v>
      </c>
      <c r="B1830" s="3" t="s">
        <v>3737</v>
      </c>
      <c r="C1830" s="3" t="s">
        <v>4376</v>
      </c>
      <c r="D1830" s="3" t="s">
        <v>4376</v>
      </c>
      <c r="E1830" s="2">
        <v>2023</v>
      </c>
      <c r="F1830" s="3" t="s">
        <v>3767</v>
      </c>
      <c r="G1830" s="2" t="s">
        <v>12</v>
      </c>
      <c r="H1830" s="3" t="s">
        <v>3768</v>
      </c>
      <c r="I1830" s="15" t="s">
        <v>3204</v>
      </c>
    </row>
    <row r="1831" spans="1:9" ht="45" x14ac:dyDescent="0.25">
      <c r="A1831" s="2">
        <v>1828</v>
      </c>
      <c r="B1831" s="3" t="s">
        <v>3737</v>
      </c>
      <c r="C1831" s="3" t="s">
        <v>4377</v>
      </c>
      <c r="D1831" s="3" t="s">
        <v>4377</v>
      </c>
      <c r="E1831" s="2">
        <v>2023</v>
      </c>
      <c r="F1831" s="3" t="s">
        <v>3767</v>
      </c>
      <c r="G1831" s="2" t="s">
        <v>12</v>
      </c>
      <c r="H1831" s="3" t="s">
        <v>3768</v>
      </c>
      <c r="I1831" s="15" t="s">
        <v>3204</v>
      </c>
    </row>
    <row r="1832" spans="1:9" ht="45" x14ac:dyDescent="0.25">
      <c r="A1832" s="2">
        <v>1829</v>
      </c>
      <c r="B1832" s="3" t="s">
        <v>3737</v>
      </c>
      <c r="C1832" s="3" t="s">
        <v>4378</v>
      </c>
      <c r="D1832" s="3" t="s">
        <v>4378</v>
      </c>
      <c r="E1832" s="2">
        <v>2022</v>
      </c>
      <c r="F1832" s="3">
        <v>9788170197195</v>
      </c>
      <c r="G1832" s="2" t="s">
        <v>12</v>
      </c>
      <c r="H1832" s="3" t="s">
        <v>3758</v>
      </c>
      <c r="I1832" s="15" t="s">
        <v>3204</v>
      </c>
    </row>
    <row r="1833" spans="1:9" ht="45" x14ac:dyDescent="0.25">
      <c r="A1833" s="2">
        <v>1830</v>
      </c>
      <c r="B1833" s="3" t="s">
        <v>3737</v>
      </c>
      <c r="C1833" s="3" t="s">
        <v>4379</v>
      </c>
      <c r="D1833" s="3" t="s">
        <v>4379</v>
      </c>
      <c r="E1833" s="2">
        <v>2023</v>
      </c>
      <c r="F1833" s="3" t="s">
        <v>3767</v>
      </c>
      <c r="G1833" s="2" t="s">
        <v>12</v>
      </c>
      <c r="H1833" s="3" t="s">
        <v>3768</v>
      </c>
      <c r="I1833" s="15" t="s">
        <v>3204</v>
      </c>
    </row>
    <row r="1834" spans="1:9" ht="60" x14ac:dyDescent="0.25">
      <c r="A1834" s="2">
        <v>1831</v>
      </c>
      <c r="B1834" s="3" t="s">
        <v>3777</v>
      </c>
      <c r="C1834" s="3" t="s">
        <v>4380</v>
      </c>
      <c r="D1834" s="3" t="s">
        <v>4380</v>
      </c>
      <c r="E1834" s="2">
        <v>2019</v>
      </c>
      <c r="F1834" s="3" t="s">
        <v>4381</v>
      </c>
      <c r="G1834" s="2" t="s">
        <v>12</v>
      </c>
      <c r="H1834" s="3" t="s">
        <v>4382</v>
      </c>
      <c r="I1834" s="12" t="s">
        <v>3204</v>
      </c>
    </row>
    <row r="1835" spans="1:9" ht="75" x14ac:dyDescent="0.25">
      <c r="A1835" s="2">
        <v>1832</v>
      </c>
      <c r="B1835" s="3" t="s">
        <v>3777</v>
      </c>
      <c r="C1835" s="3" t="s">
        <v>4383</v>
      </c>
      <c r="D1835" s="3" t="s">
        <v>4383</v>
      </c>
      <c r="E1835" s="2">
        <v>2019</v>
      </c>
      <c r="F1835" s="3" t="s">
        <v>4382</v>
      </c>
      <c r="G1835" s="2" t="s">
        <v>12</v>
      </c>
      <c r="H1835" s="3" t="s">
        <v>4382</v>
      </c>
      <c r="I1835" s="12" t="s">
        <v>3204</v>
      </c>
    </row>
    <row r="1836" spans="1:9" ht="30" x14ac:dyDescent="0.25">
      <c r="A1836" s="2">
        <v>1833</v>
      </c>
      <c r="B1836" s="3" t="s">
        <v>3773</v>
      </c>
      <c r="C1836" s="3" t="s">
        <v>4384</v>
      </c>
      <c r="D1836" s="3" t="s">
        <v>4384</v>
      </c>
      <c r="E1836" s="2">
        <v>2019</v>
      </c>
      <c r="F1836" s="3" t="s">
        <v>4382</v>
      </c>
      <c r="G1836" s="2" t="s">
        <v>12</v>
      </c>
      <c r="H1836" s="3" t="s">
        <v>4382</v>
      </c>
      <c r="I1836" s="12" t="s">
        <v>3204</v>
      </c>
    </row>
    <row r="1837" spans="1:9" ht="45" x14ac:dyDescent="0.25">
      <c r="A1837" s="2">
        <v>1834</v>
      </c>
      <c r="B1837" s="3" t="s">
        <v>4385</v>
      </c>
      <c r="C1837" s="3" t="s">
        <v>4386</v>
      </c>
      <c r="D1837" s="3" t="s">
        <v>4386</v>
      </c>
      <c r="E1837" s="2">
        <v>2019</v>
      </c>
      <c r="F1837" s="3" t="s">
        <v>3201</v>
      </c>
      <c r="G1837" s="2" t="s">
        <v>12</v>
      </c>
      <c r="H1837" s="3" t="s">
        <v>3201</v>
      </c>
      <c r="I1837" s="15" t="s">
        <v>3204</v>
      </c>
    </row>
    <row r="1838" spans="1:9" ht="60" x14ac:dyDescent="0.25">
      <c r="A1838" s="2">
        <v>1835</v>
      </c>
      <c r="B1838" s="3" t="s">
        <v>4385</v>
      </c>
      <c r="C1838" s="3" t="s">
        <v>4387</v>
      </c>
      <c r="D1838" s="3" t="s">
        <v>4387</v>
      </c>
      <c r="E1838" s="2">
        <v>2019</v>
      </c>
      <c r="F1838" s="3" t="s">
        <v>3201</v>
      </c>
      <c r="G1838" s="2" t="s">
        <v>12</v>
      </c>
      <c r="H1838" s="3" t="s">
        <v>3201</v>
      </c>
      <c r="I1838" s="12" t="s">
        <v>3204</v>
      </c>
    </row>
    <row r="1839" spans="1:9" ht="45" x14ac:dyDescent="0.25">
      <c r="A1839" s="2">
        <v>1836</v>
      </c>
      <c r="B1839" s="3" t="s">
        <v>4388</v>
      </c>
      <c r="C1839" s="3" t="s">
        <v>4389</v>
      </c>
      <c r="D1839" s="3" t="s">
        <v>4389</v>
      </c>
      <c r="E1839" s="2">
        <v>2022</v>
      </c>
      <c r="F1839" s="3" t="s">
        <v>4390</v>
      </c>
      <c r="G1839" s="2" t="s">
        <v>12</v>
      </c>
      <c r="H1839" s="3" t="s">
        <v>3201</v>
      </c>
      <c r="I1839" s="15" t="s">
        <v>3204</v>
      </c>
    </row>
    <row r="1840" spans="1:9" ht="75" x14ac:dyDescent="0.25">
      <c r="A1840" s="2">
        <v>1837</v>
      </c>
      <c r="B1840" s="3" t="s">
        <v>4391</v>
      </c>
      <c r="C1840" s="3" t="s">
        <v>4392</v>
      </c>
      <c r="D1840" s="3" t="s">
        <v>4392</v>
      </c>
      <c r="E1840" s="2">
        <v>2021</v>
      </c>
      <c r="F1840" s="3" t="s">
        <v>3201</v>
      </c>
      <c r="G1840" s="2" t="s">
        <v>12</v>
      </c>
      <c r="H1840" s="3" t="s">
        <v>4393</v>
      </c>
      <c r="I1840" s="12" t="s">
        <v>4394</v>
      </c>
    </row>
    <row r="1841" spans="1:9" ht="75" x14ac:dyDescent="0.25">
      <c r="A1841" s="2">
        <v>1838</v>
      </c>
      <c r="B1841" s="3" t="s">
        <v>4395</v>
      </c>
      <c r="C1841" s="3" t="s">
        <v>4396</v>
      </c>
      <c r="D1841" s="3" t="s">
        <v>4396</v>
      </c>
      <c r="E1841" s="2">
        <v>2021</v>
      </c>
      <c r="F1841" s="3" t="s">
        <v>4397</v>
      </c>
      <c r="G1841" s="2" t="s">
        <v>12</v>
      </c>
      <c r="H1841" s="3" t="s">
        <v>3201</v>
      </c>
      <c r="I1841" s="15" t="s">
        <v>3204</v>
      </c>
    </row>
    <row r="1842" spans="1:9" ht="75" x14ac:dyDescent="0.25">
      <c r="A1842" s="2">
        <v>1839</v>
      </c>
      <c r="B1842" s="3" t="s">
        <v>4395</v>
      </c>
      <c r="C1842" s="3" t="s">
        <v>4398</v>
      </c>
      <c r="D1842" s="3" t="s">
        <v>4398</v>
      </c>
      <c r="E1842" s="2">
        <v>2021</v>
      </c>
      <c r="F1842" s="3" t="s">
        <v>4399</v>
      </c>
      <c r="G1842" s="2" t="s">
        <v>12</v>
      </c>
      <c r="H1842" s="3" t="s">
        <v>4400</v>
      </c>
      <c r="I1842" s="15" t="s">
        <v>3204</v>
      </c>
    </row>
    <row r="1843" spans="1:9" ht="45" x14ac:dyDescent="0.25">
      <c r="A1843" s="2">
        <v>1840</v>
      </c>
      <c r="B1843" s="3" t="s">
        <v>4401</v>
      </c>
      <c r="C1843" s="3" t="s">
        <v>4402</v>
      </c>
      <c r="D1843" s="3" t="s">
        <v>4402</v>
      </c>
      <c r="E1843" s="2">
        <v>2021</v>
      </c>
      <c r="F1843" s="3" t="s">
        <v>3201</v>
      </c>
      <c r="G1843" s="2" t="s">
        <v>12</v>
      </c>
      <c r="H1843" s="3" t="s">
        <v>3201</v>
      </c>
      <c r="I1843" s="15" t="s">
        <v>3204</v>
      </c>
    </row>
    <row r="1844" spans="1:9" ht="90" x14ac:dyDescent="0.25">
      <c r="A1844" s="2">
        <v>1841</v>
      </c>
      <c r="B1844" s="3" t="s">
        <v>4401</v>
      </c>
      <c r="C1844" s="3" t="s">
        <v>4403</v>
      </c>
      <c r="D1844" s="3" t="s">
        <v>4403</v>
      </c>
      <c r="E1844" s="2">
        <v>2021</v>
      </c>
      <c r="F1844" s="3" t="s">
        <v>3201</v>
      </c>
      <c r="G1844" s="2" t="s">
        <v>12</v>
      </c>
      <c r="H1844" s="3" t="s">
        <v>3201</v>
      </c>
      <c r="I1844" s="15" t="s">
        <v>3204</v>
      </c>
    </row>
    <row r="1845" spans="1:9" ht="75" x14ac:dyDescent="0.25">
      <c r="A1845" s="2">
        <v>1842</v>
      </c>
      <c r="B1845" s="3" t="s">
        <v>4401</v>
      </c>
      <c r="C1845" s="3" t="s">
        <v>4404</v>
      </c>
      <c r="D1845" s="3" t="s">
        <v>4404</v>
      </c>
      <c r="E1845" s="2">
        <v>2021</v>
      </c>
      <c r="F1845" s="3" t="s">
        <v>4405</v>
      </c>
      <c r="G1845" s="2" t="s">
        <v>12</v>
      </c>
      <c r="H1845" s="3" t="s">
        <v>3201</v>
      </c>
      <c r="I1845" s="15" t="s">
        <v>3204</v>
      </c>
    </row>
    <row r="1846" spans="1:9" ht="45" x14ac:dyDescent="0.25">
      <c r="A1846" s="2">
        <v>1843</v>
      </c>
      <c r="B1846" s="3" t="s">
        <v>4385</v>
      </c>
      <c r="C1846" s="3" t="s">
        <v>4406</v>
      </c>
      <c r="D1846" s="3" t="s">
        <v>4406</v>
      </c>
      <c r="E1846" s="2">
        <v>2021</v>
      </c>
      <c r="F1846" s="3" t="s">
        <v>3201</v>
      </c>
      <c r="G1846" s="2" t="s">
        <v>12</v>
      </c>
      <c r="H1846" s="3" t="s">
        <v>4407</v>
      </c>
      <c r="I1846" s="15" t="s">
        <v>3204</v>
      </c>
    </row>
    <row r="1847" spans="1:9" ht="60" x14ac:dyDescent="0.25">
      <c r="A1847" s="2">
        <v>1844</v>
      </c>
      <c r="B1847" s="3" t="s">
        <v>4388</v>
      </c>
      <c r="C1847" s="3" t="s">
        <v>4408</v>
      </c>
      <c r="D1847" s="3" t="s">
        <v>4408</v>
      </c>
      <c r="E1847" s="2">
        <v>2022</v>
      </c>
      <c r="F1847" s="3" t="s">
        <v>4409</v>
      </c>
      <c r="G1847" s="2" t="s">
        <v>12</v>
      </c>
      <c r="H1847" s="3" t="s">
        <v>72</v>
      </c>
      <c r="I1847" s="15" t="s">
        <v>3204</v>
      </c>
    </row>
    <row r="1848" spans="1:9" ht="45" x14ac:dyDescent="0.25">
      <c r="A1848" s="2">
        <v>1845</v>
      </c>
      <c r="B1848" s="3" t="s">
        <v>4401</v>
      </c>
      <c r="C1848" s="3" t="s">
        <v>4410</v>
      </c>
      <c r="D1848" s="3" t="s">
        <v>4410</v>
      </c>
      <c r="E1848" s="2">
        <v>2022</v>
      </c>
      <c r="F1848" s="3">
        <v>44866</v>
      </c>
      <c r="G1848" s="2" t="s">
        <v>12</v>
      </c>
      <c r="H1848" s="3" t="s">
        <v>4411</v>
      </c>
      <c r="I1848" s="15" t="s">
        <v>3204</v>
      </c>
    </row>
    <row r="1849" spans="1:9" ht="30" x14ac:dyDescent="0.25">
      <c r="A1849" s="2">
        <v>1846</v>
      </c>
      <c r="B1849" s="3" t="s">
        <v>3783</v>
      </c>
      <c r="C1849" s="3" t="s">
        <v>4412</v>
      </c>
      <c r="D1849" s="3" t="s">
        <v>4412</v>
      </c>
      <c r="E1849" s="2">
        <v>2019</v>
      </c>
      <c r="F1849" s="3" t="s">
        <v>3785</v>
      </c>
      <c r="G1849" s="2" t="s">
        <v>12</v>
      </c>
      <c r="H1849" s="3" t="s">
        <v>3786</v>
      </c>
      <c r="I1849" s="15" t="s">
        <v>3204</v>
      </c>
    </row>
    <row r="1850" spans="1:9" ht="30" x14ac:dyDescent="0.25">
      <c r="A1850" s="2">
        <v>1847</v>
      </c>
      <c r="B1850" s="3" t="s">
        <v>3787</v>
      </c>
      <c r="C1850" s="3" t="s">
        <v>4413</v>
      </c>
      <c r="D1850" s="3" t="s">
        <v>4413</v>
      </c>
      <c r="E1850" s="2">
        <v>2021</v>
      </c>
      <c r="F1850" s="3">
        <v>9789391501051</v>
      </c>
      <c r="G1850" s="2" t="s">
        <v>12</v>
      </c>
      <c r="H1850" s="3" t="s">
        <v>3789</v>
      </c>
      <c r="I1850" s="15" t="s">
        <v>3204</v>
      </c>
    </row>
    <row r="1851" spans="1:9" ht="30" x14ac:dyDescent="0.25">
      <c r="A1851" s="2">
        <v>1848</v>
      </c>
      <c r="B1851" s="3" t="s">
        <v>3783</v>
      </c>
      <c r="C1851" s="3" t="s">
        <v>4414</v>
      </c>
      <c r="D1851" s="3" t="s">
        <v>4414</v>
      </c>
      <c r="E1851" s="2">
        <v>2021</v>
      </c>
      <c r="F1851" s="3">
        <v>9788195037346</v>
      </c>
      <c r="G1851" s="2" t="s">
        <v>12</v>
      </c>
      <c r="H1851" s="3" t="s">
        <v>3789</v>
      </c>
      <c r="I1851" s="15" t="s">
        <v>3204</v>
      </c>
    </row>
    <row r="1852" spans="1:9" ht="45" x14ac:dyDescent="0.25">
      <c r="A1852" s="2">
        <v>1849</v>
      </c>
      <c r="B1852" s="3" t="s">
        <v>3783</v>
      </c>
      <c r="C1852" s="3" t="s">
        <v>4415</v>
      </c>
      <c r="D1852" s="3" t="s">
        <v>4415</v>
      </c>
      <c r="E1852" s="2">
        <v>2022</v>
      </c>
      <c r="F1852" s="3" t="s">
        <v>4416</v>
      </c>
      <c r="G1852" s="2" t="s">
        <v>12</v>
      </c>
      <c r="H1852" s="3" t="s">
        <v>4416</v>
      </c>
      <c r="I1852" s="15" t="s">
        <v>3204</v>
      </c>
    </row>
    <row r="1853" spans="1:9" ht="30" x14ac:dyDescent="0.25">
      <c r="A1853" s="2">
        <v>1850</v>
      </c>
      <c r="B1853" s="3" t="s">
        <v>3806</v>
      </c>
      <c r="C1853" s="3" t="s">
        <v>4417</v>
      </c>
      <c r="D1853" s="3" t="s">
        <v>4417</v>
      </c>
      <c r="E1853" s="2">
        <v>2021</v>
      </c>
      <c r="F1853" s="3" t="s">
        <v>3348</v>
      </c>
      <c r="G1853" s="2" t="s">
        <v>12</v>
      </c>
      <c r="H1853" s="3" t="s">
        <v>3808</v>
      </c>
      <c r="I1853" s="15" t="s">
        <v>3204</v>
      </c>
    </row>
    <row r="1854" spans="1:9" ht="45" x14ac:dyDescent="0.25">
      <c r="A1854" s="2">
        <v>1851</v>
      </c>
      <c r="B1854" s="3" t="s">
        <v>3806</v>
      </c>
      <c r="C1854" s="3" t="s">
        <v>4418</v>
      </c>
      <c r="D1854" s="3" t="s">
        <v>4418</v>
      </c>
      <c r="E1854" s="2">
        <v>2022</v>
      </c>
      <c r="F1854" s="3">
        <v>9789393985132</v>
      </c>
      <c r="G1854" s="2" t="s">
        <v>12</v>
      </c>
      <c r="H1854" s="3" t="s">
        <v>3812</v>
      </c>
      <c r="I1854" s="15" t="s">
        <v>3204</v>
      </c>
    </row>
    <row r="1855" spans="1:9" ht="30" x14ac:dyDescent="0.25">
      <c r="A1855" s="2">
        <v>1852</v>
      </c>
      <c r="B1855" s="3" t="s">
        <v>3806</v>
      </c>
      <c r="C1855" s="3" t="s">
        <v>4417</v>
      </c>
      <c r="D1855" s="3" t="s">
        <v>4417</v>
      </c>
      <c r="E1855" s="2">
        <v>2021</v>
      </c>
      <c r="F1855" s="3" t="s">
        <v>3201</v>
      </c>
      <c r="G1855" s="2" t="s">
        <v>12</v>
      </c>
      <c r="H1855" s="3" t="s">
        <v>3814</v>
      </c>
      <c r="I1855" s="15" t="s">
        <v>3204</v>
      </c>
    </row>
    <row r="1856" spans="1:9" ht="30" x14ac:dyDescent="0.25">
      <c r="A1856" s="2">
        <v>1853</v>
      </c>
      <c r="B1856" s="3" t="s">
        <v>3806</v>
      </c>
      <c r="C1856" s="3" t="s">
        <v>4417</v>
      </c>
      <c r="D1856" s="3" t="s">
        <v>4417</v>
      </c>
      <c r="E1856" s="2">
        <v>2022</v>
      </c>
      <c r="F1856" s="3">
        <v>9789381289952</v>
      </c>
      <c r="G1856" s="2" t="s">
        <v>12</v>
      </c>
      <c r="H1856" s="3" t="s">
        <v>3815</v>
      </c>
      <c r="I1856" s="15" t="s">
        <v>3204</v>
      </c>
    </row>
    <row r="1857" spans="1:9" ht="30" x14ac:dyDescent="0.25">
      <c r="A1857" s="2">
        <v>1854</v>
      </c>
      <c r="B1857" s="3" t="s">
        <v>3797</v>
      </c>
      <c r="C1857" s="3" t="s">
        <v>4419</v>
      </c>
      <c r="D1857" s="3" t="s">
        <v>4419</v>
      </c>
      <c r="E1857" s="2">
        <v>2022</v>
      </c>
      <c r="F1857" s="3" t="s">
        <v>3201</v>
      </c>
      <c r="G1857" s="2" t="s">
        <v>12</v>
      </c>
      <c r="H1857" s="3" t="s">
        <v>3201</v>
      </c>
      <c r="I1857" s="15" t="s">
        <v>3204</v>
      </c>
    </row>
    <row r="1858" spans="1:9" ht="30" x14ac:dyDescent="0.25">
      <c r="A1858" s="2">
        <v>1855</v>
      </c>
      <c r="B1858" s="3" t="s">
        <v>3797</v>
      </c>
      <c r="C1858" s="3" t="s">
        <v>4420</v>
      </c>
      <c r="D1858" s="3" t="s">
        <v>4420</v>
      </c>
      <c r="E1858" s="2">
        <v>2021</v>
      </c>
      <c r="F1858" s="3" t="s">
        <v>3201</v>
      </c>
      <c r="G1858" s="2" t="s">
        <v>12</v>
      </c>
      <c r="H1858" s="3" t="s">
        <v>3201</v>
      </c>
      <c r="I1858" s="15" t="s">
        <v>3204</v>
      </c>
    </row>
    <row r="1859" spans="1:9" ht="30" x14ac:dyDescent="0.25">
      <c r="A1859" s="2">
        <v>1856</v>
      </c>
      <c r="B1859" s="3" t="s">
        <v>3806</v>
      </c>
      <c r="C1859" s="3" t="s">
        <v>4421</v>
      </c>
      <c r="D1859" s="3" t="s">
        <v>4421</v>
      </c>
      <c r="E1859" s="2">
        <v>2023</v>
      </c>
      <c r="F1859" s="3" t="s">
        <v>4422</v>
      </c>
      <c r="G1859" s="2" t="s">
        <v>12</v>
      </c>
      <c r="H1859" s="3" t="s">
        <v>4423</v>
      </c>
      <c r="I1859" s="15" t="s">
        <v>3204</v>
      </c>
    </row>
    <row r="1860" spans="1:9" ht="120" x14ac:dyDescent="0.25">
      <c r="A1860" s="2">
        <v>1857</v>
      </c>
      <c r="B1860" s="3" t="s">
        <v>3827</v>
      </c>
      <c r="C1860" s="3" t="s">
        <v>4424</v>
      </c>
      <c r="D1860" s="3" t="s">
        <v>4424</v>
      </c>
      <c r="E1860" s="2">
        <v>2022</v>
      </c>
      <c r="F1860" s="3" t="s">
        <v>3201</v>
      </c>
      <c r="G1860" s="2" t="s">
        <v>12</v>
      </c>
      <c r="H1860" s="3" t="s">
        <v>3201</v>
      </c>
      <c r="I1860" s="15" t="s">
        <v>3204</v>
      </c>
    </row>
    <row r="1861" spans="1:9" ht="45" x14ac:dyDescent="0.25">
      <c r="A1861" s="2">
        <v>1858</v>
      </c>
      <c r="B1861" s="3" t="s">
        <v>3836</v>
      </c>
      <c r="C1861" s="3" t="s">
        <v>4425</v>
      </c>
      <c r="D1861" s="3" t="s">
        <v>4425</v>
      </c>
      <c r="E1861" s="2">
        <v>2019</v>
      </c>
      <c r="F1861" s="3" t="s">
        <v>3838</v>
      </c>
      <c r="G1861" s="2" t="s">
        <v>12</v>
      </c>
      <c r="H1861" s="3" t="s">
        <v>3839</v>
      </c>
      <c r="I1861" s="15" t="s">
        <v>3204</v>
      </c>
    </row>
    <row r="1862" spans="1:9" ht="60" x14ac:dyDescent="0.25">
      <c r="A1862" s="2">
        <v>1859</v>
      </c>
      <c r="B1862" s="3" t="s">
        <v>4426</v>
      </c>
      <c r="C1862" s="3" t="s">
        <v>4427</v>
      </c>
      <c r="D1862" s="3" t="s">
        <v>4427</v>
      </c>
      <c r="E1862" s="2">
        <v>2020</v>
      </c>
      <c r="F1862" s="3" t="s">
        <v>4428</v>
      </c>
      <c r="G1862" s="2" t="s">
        <v>12</v>
      </c>
      <c r="H1862" s="3" t="s">
        <v>4429</v>
      </c>
      <c r="I1862" s="12" t="s">
        <v>3204</v>
      </c>
    </row>
    <row r="1863" spans="1:9" ht="45" x14ac:dyDescent="0.25">
      <c r="A1863" s="2">
        <v>1860</v>
      </c>
      <c r="B1863" s="3" t="s">
        <v>4426</v>
      </c>
      <c r="C1863" s="3" t="s">
        <v>4430</v>
      </c>
      <c r="D1863" s="3" t="s">
        <v>4430</v>
      </c>
      <c r="E1863" s="2">
        <v>2020</v>
      </c>
      <c r="F1863" s="3" t="s">
        <v>4431</v>
      </c>
      <c r="G1863" s="2" t="s">
        <v>12</v>
      </c>
      <c r="H1863" s="3" t="s">
        <v>4432</v>
      </c>
      <c r="I1863" s="12" t="s">
        <v>3204</v>
      </c>
    </row>
    <row r="1864" spans="1:9" ht="30" x14ac:dyDescent="0.25">
      <c r="A1864" s="2">
        <v>1861</v>
      </c>
      <c r="B1864" s="3" t="s">
        <v>4426</v>
      </c>
      <c r="C1864" s="3" t="s">
        <v>4433</v>
      </c>
      <c r="D1864" s="3" t="s">
        <v>4433</v>
      </c>
      <c r="E1864" s="2">
        <v>2022</v>
      </c>
      <c r="F1864" s="3" t="s">
        <v>4434</v>
      </c>
      <c r="G1864" s="2" t="s">
        <v>12</v>
      </c>
      <c r="H1864" s="3" t="s">
        <v>4435</v>
      </c>
      <c r="I1864" s="12" t="s">
        <v>3204</v>
      </c>
    </row>
    <row r="1865" spans="1:9" ht="60" x14ac:dyDescent="0.25">
      <c r="A1865" s="2">
        <v>1862</v>
      </c>
      <c r="B1865" s="3" t="s">
        <v>4426</v>
      </c>
      <c r="C1865" s="3" t="s">
        <v>4436</v>
      </c>
      <c r="D1865" s="3" t="s">
        <v>4436</v>
      </c>
      <c r="E1865" s="2">
        <v>2021</v>
      </c>
      <c r="F1865" s="3" t="s">
        <v>4437</v>
      </c>
      <c r="G1865" s="2" t="s">
        <v>12</v>
      </c>
      <c r="H1865" s="3" t="s">
        <v>4438</v>
      </c>
      <c r="I1865" s="12" t="s">
        <v>3204</v>
      </c>
    </row>
    <row r="1866" spans="1:9" ht="75" x14ac:dyDescent="0.25">
      <c r="A1866" s="2">
        <v>1863</v>
      </c>
      <c r="B1866" s="3" t="s">
        <v>4439</v>
      </c>
      <c r="C1866" s="3" t="s">
        <v>3946</v>
      </c>
      <c r="D1866" s="3" t="s">
        <v>3946</v>
      </c>
      <c r="E1866" s="2">
        <v>2018</v>
      </c>
      <c r="F1866" s="3" t="s">
        <v>3855</v>
      </c>
      <c r="G1866" s="2" t="s">
        <v>12</v>
      </c>
      <c r="H1866" s="3" t="s">
        <v>4400</v>
      </c>
      <c r="I1866" s="12" t="s">
        <v>4440</v>
      </c>
    </row>
    <row r="1867" spans="1:9" ht="75" x14ac:dyDescent="0.25">
      <c r="A1867" s="2">
        <v>1864</v>
      </c>
      <c r="B1867" s="3" t="s">
        <v>4439</v>
      </c>
      <c r="C1867" s="3" t="s">
        <v>3950</v>
      </c>
      <c r="D1867" s="3" t="s">
        <v>3950</v>
      </c>
      <c r="E1867" s="2">
        <v>2018</v>
      </c>
      <c r="F1867" s="3" t="s">
        <v>3855</v>
      </c>
      <c r="G1867" s="2" t="s">
        <v>12</v>
      </c>
      <c r="H1867" s="3" t="s">
        <v>4400</v>
      </c>
      <c r="I1867" s="12" t="s">
        <v>4441</v>
      </c>
    </row>
    <row r="1868" spans="1:9" ht="60" x14ac:dyDescent="0.25">
      <c r="A1868" s="2">
        <v>1865</v>
      </c>
      <c r="B1868" s="3" t="s">
        <v>4439</v>
      </c>
      <c r="C1868" s="3" t="s">
        <v>3953</v>
      </c>
      <c r="D1868" s="3" t="s">
        <v>3953</v>
      </c>
      <c r="E1868" s="2">
        <v>2018</v>
      </c>
      <c r="F1868" s="3" t="s">
        <v>3855</v>
      </c>
      <c r="G1868" s="2" t="s">
        <v>12</v>
      </c>
      <c r="H1868" s="3" t="s">
        <v>4400</v>
      </c>
      <c r="I1868" s="12" t="s">
        <v>4442</v>
      </c>
    </row>
    <row r="1869" spans="1:9" ht="75" x14ac:dyDescent="0.25">
      <c r="A1869" s="2">
        <v>1866</v>
      </c>
      <c r="B1869" s="3" t="s">
        <v>4439</v>
      </c>
      <c r="C1869" s="3" t="s">
        <v>3951</v>
      </c>
      <c r="D1869" s="3" t="s">
        <v>3951</v>
      </c>
      <c r="E1869" s="2">
        <v>2018</v>
      </c>
      <c r="F1869" s="3" t="s">
        <v>3855</v>
      </c>
      <c r="G1869" s="2" t="s">
        <v>12</v>
      </c>
      <c r="H1869" s="3" t="s">
        <v>4400</v>
      </c>
      <c r="I1869" s="12" t="s">
        <v>4443</v>
      </c>
    </row>
    <row r="1870" spans="1:9" ht="75" x14ac:dyDescent="0.25">
      <c r="A1870" s="2">
        <v>1867</v>
      </c>
      <c r="B1870" s="3" t="s">
        <v>4439</v>
      </c>
      <c r="C1870" s="3" t="s">
        <v>2606</v>
      </c>
      <c r="D1870" s="3" t="s">
        <v>2606</v>
      </c>
      <c r="E1870" s="2">
        <v>2018</v>
      </c>
      <c r="F1870" s="3" t="s">
        <v>4444</v>
      </c>
      <c r="G1870" s="2" t="s">
        <v>12</v>
      </c>
      <c r="H1870" s="3" t="s">
        <v>72</v>
      </c>
      <c r="I1870" s="12" t="s">
        <v>4445</v>
      </c>
    </row>
    <row r="1871" spans="1:9" ht="409.5" x14ac:dyDescent="0.25">
      <c r="A1871" s="2">
        <v>1868</v>
      </c>
      <c r="B1871" s="3" t="s">
        <v>3857</v>
      </c>
      <c r="C1871" s="3" t="s">
        <v>4446</v>
      </c>
      <c r="D1871" s="3" t="s">
        <v>4446</v>
      </c>
      <c r="E1871" s="2">
        <v>2018</v>
      </c>
      <c r="F1871" s="3" t="s">
        <v>4447</v>
      </c>
      <c r="G1871" s="2" t="s">
        <v>12</v>
      </c>
      <c r="H1871" s="3" t="s">
        <v>3260</v>
      </c>
      <c r="I1871" s="16" t="s">
        <v>4448</v>
      </c>
    </row>
    <row r="1872" spans="1:9" ht="75" x14ac:dyDescent="0.25">
      <c r="A1872" s="2">
        <v>1869</v>
      </c>
      <c r="B1872" s="3" t="s">
        <v>3857</v>
      </c>
      <c r="C1872" s="3" t="s">
        <v>4449</v>
      </c>
      <c r="D1872" s="3" t="s">
        <v>4449</v>
      </c>
      <c r="E1872" s="2">
        <v>2018</v>
      </c>
      <c r="F1872" s="3" t="s">
        <v>3855</v>
      </c>
      <c r="G1872" s="2" t="s">
        <v>12</v>
      </c>
      <c r="H1872" s="3" t="s">
        <v>4400</v>
      </c>
      <c r="I1872" s="12" t="s">
        <v>4450</v>
      </c>
    </row>
    <row r="1873" spans="1:9" ht="60" x14ac:dyDescent="0.25">
      <c r="A1873" s="2">
        <v>1870</v>
      </c>
      <c r="B1873" s="3" t="s">
        <v>3857</v>
      </c>
      <c r="C1873" s="3" t="s">
        <v>4451</v>
      </c>
      <c r="D1873" s="3" t="s">
        <v>4451</v>
      </c>
      <c r="E1873" s="2">
        <v>2018</v>
      </c>
      <c r="F1873" s="3" t="s">
        <v>3855</v>
      </c>
      <c r="G1873" s="2" t="s">
        <v>12</v>
      </c>
      <c r="H1873" s="3" t="s">
        <v>4400</v>
      </c>
      <c r="I1873" s="12" t="s">
        <v>4452</v>
      </c>
    </row>
    <row r="1874" spans="1:9" ht="75" x14ac:dyDescent="0.25">
      <c r="A1874" s="2">
        <v>1871</v>
      </c>
      <c r="B1874" s="3" t="s">
        <v>3857</v>
      </c>
      <c r="C1874" s="3" t="s">
        <v>4453</v>
      </c>
      <c r="D1874" s="3" t="s">
        <v>4453</v>
      </c>
      <c r="E1874" s="2">
        <v>2018</v>
      </c>
      <c r="F1874" s="3" t="s">
        <v>3855</v>
      </c>
      <c r="G1874" s="2" t="s">
        <v>12</v>
      </c>
      <c r="H1874" s="3" t="s">
        <v>4400</v>
      </c>
      <c r="I1874" s="12" t="s">
        <v>4454</v>
      </c>
    </row>
    <row r="1875" spans="1:9" ht="75" x14ac:dyDescent="0.25">
      <c r="A1875" s="2">
        <v>1872</v>
      </c>
      <c r="B1875" s="3" t="s">
        <v>3857</v>
      </c>
      <c r="C1875" s="3" t="s">
        <v>4455</v>
      </c>
      <c r="D1875" s="3" t="s">
        <v>4455</v>
      </c>
      <c r="E1875" s="2">
        <v>2018</v>
      </c>
      <c r="F1875" s="3" t="s">
        <v>3855</v>
      </c>
      <c r="G1875" s="2" t="s">
        <v>12</v>
      </c>
      <c r="H1875" s="3" t="s">
        <v>4400</v>
      </c>
      <c r="I1875" s="12" t="s">
        <v>4456</v>
      </c>
    </row>
    <row r="1876" spans="1:9" ht="75" x14ac:dyDescent="0.25">
      <c r="A1876" s="2">
        <v>1873</v>
      </c>
      <c r="B1876" s="3" t="s">
        <v>3857</v>
      </c>
      <c r="C1876" s="3" t="s">
        <v>1602</v>
      </c>
      <c r="D1876" s="3" t="s">
        <v>1602</v>
      </c>
      <c r="E1876" s="2">
        <v>2018</v>
      </c>
      <c r="F1876" s="3" t="s">
        <v>3855</v>
      </c>
      <c r="G1876" s="2" t="s">
        <v>12</v>
      </c>
      <c r="H1876" s="3" t="s">
        <v>4400</v>
      </c>
      <c r="I1876" s="12" t="s">
        <v>4457</v>
      </c>
    </row>
    <row r="1877" spans="1:9" ht="75" x14ac:dyDescent="0.25">
      <c r="A1877" s="2">
        <v>1874</v>
      </c>
      <c r="B1877" s="3" t="s">
        <v>3857</v>
      </c>
      <c r="C1877" s="3" t="s">
        <v>4458</v>
      </c>
      <c r="D1877" s="3" t="s">
        <v>4458</v>
      </c>
      <c r="E1877" s="2">
        <v>2018</v>
      </c>
      <c r="F1877" s="3" t="s">
        <v>3855</v>
      </c>
      <c r="G1877" s="2" t="s">
        <v>12</v>
      </c>
      <c r="H1877" s="3" t="s">
        <v>4400</v>
      </c>
      <c r="I1877" s="12" t="s">
        <v>4459</v>
      </c>
    </row>
    <row r="1878" spans="1:9" ht="75" x14ac:dyDescent="0.25">
      <c r="A1878" s="2">
        <v>1875</v>
      </c>
      <c r="B1878" s="3" t="s">
        <v>3857</v>
      </c>
      <c r="C1878" s="3" t="s">
        <v>4460</v>
      </c>
      <c r="D1878" s="3" t="s">
        <v>4460</v>
      </c>
      <c r="E1878" s="2">
        <v>2018</v>
      </c>
      <c r="F1878" s="3" t="s">
        <v>3855</v>
      </c>
      <c r="G1878" s="2" t="s">
        <v>12</v>
      </c>
      <c r="H1878" s="3" t="s">
        <v>4400</v>
      </c>
      <c r="I1878" s="12" t="s">
        <v>4461</v>
      </c>
    </row>
    <row r="1879" spans="1:9" ht="75" x14ac:dyDescent="0.25">
      <c r="A1879" s="2">
        <v>1876</v>
      </c>
      <c r="B1879" s="3" t="s">
        <v>4462</v>
      </c>
      <c r="C1879" s="3" t="s">
        <v>4463</v>
      </c>
      <c r="D1879" s="3" t="s">
        <v>4463</v>
      </c>
      <c r="E1879" s="2">
        <v>2018</v>
      </c>
      <c r="F1879" s="3" t="s">
        <v>4464</v>
      </c>
      <c r="G1879" s="2" t="s">
        <v>12</v>
      </c>
      <c r="H1879" s="3" t="s">
        <v>3260</v>
      </c>
      <c r="I1879" s="12" t="s">
        <v>4465</v>
      </c>
    </row>
    <row r="1880" spans="1:9" ht="105" x14ac:dyDescent="0.25">
      <c r="A1880" s="2">
        <v>1877</v>
      </c>
      <c r="B1880" s="3" t="s">
        <v>4462</v>
      </c>
      <c r="C1880" s="3" t="s">
        <v>4466</v>
      </c>
      <c r="D1880" s="3" t="s">
        <v>4466</v>
      </c>
      <c r="E1880" s="2">
        <v>2018</v>
      </c>
      <c r="F1880" s="3" t="s">
        <v>3855</v>
      </c>
      <c r="G1880" s="2" t="s">
        <v>12</v>
      </c>
      <c r="H1880" s="3" t="s">
        <v>4400</v>
      </c>
      <c r="I1880" s="12" t="s">
        <v>4467</v>
      </c>
    </row>
    <row r="1881" spans="1:9" ht="45" x14ac:dyDescent="0.25">
      <c r="A1881" s="2">
        <v>1878</v>
      </c>
      <c r="B1881" s="3" t="s">
        <v>4462</v>
      </c>
      <c r="C1881" s="3" t="s">
        <v>4468</v>
      </c>
      <c r="D1881" s="3" t="s">
        <v>4468</v>
      </c>
      <c r="E1881" s="2">
        <v>2018</v>
      </c>
      <c r="F1881" s="3" t="s">
        <v>3855</v>
      </c>
      <c r="G1881" s="2" t="s">
        <v>12</v>
      </c>
      <c r="H1881" s="3" t="s">
        <v>4400</v>
      </c>
      <c r="I1881" s="12" t="s">
        <v>4469</v>
      </c>
    </row>
    <row r="1882" spans="1:9" ht="60" x14ac:dyDescent="0.25">
      <c r="A1882" s="2">
        <v>1879</v>
      </c>
      <c r="B1882" s="3" t="s">
        <v>4462</v>
      </c>
      <c r="C1882" s="3" t="s">
        <v>4470</v>
      </c>
      <c r="D1882" s="3" t="s">
        <v>4470</v>
      </c>
      <c r="E1882" s="2">
        <v>2018</v>
      </c>
      <c r="F1882" s="3" t="s">
        <v>3855</v>
      </c>
      <c r="G1882" s="2" t="s">
        <v>12</v>
      </c>
      <c r="H1882" s="3" t="s">
        <v>4400</v>
      </c>
      <c r="I1882" s="12" t="s">
        <v>4471</v>
      </c>
    </row>
    <row r="1883" spans="1:9" ht="60" x14ac:dyDescent="0.25">
      <c r="A1883" s="2">
        <v>1880</v>
      </c>
      <c r="B1883" s="3" t="s">
        <v>4462</v>
      </c>
      <c r="C1883" s="3" t="s">
        <v>4472</v>
      </c>
      <c r="D1883" s="3" t="s">
        <v>4472</v>
      </c>
      <c r="E1883" s="2">
        <v>2018</v>
      </c>
      <c r="F1883" s="3" t="s">
        <v>3855</v>
      </c>
      <c r="G1883" s="2" t="s">
        <v>12</v>
      </c>
      <c r="H1883" s="3" t="s">
        <v>4400</v>
      </c>
      <c r="I1883" s="12" t="s">
        <v>4471</v>
      </c>
    </row>
    <row r="1884" spans="1:9" ht="105" x14ac:dyDescent="0.25">
      <c r="A1884" s="2">
        <v>1881</v>
      </c>
      <c r="B1884" s="3" t="s">
        <v>4462</v>
      </c>
      <c r="C1884" s="3" t="s">
        <v>4466</v>
      </c>
      <c r="D1884" s="3" t="s">
        <v>4466</v>
      </c>
      <c r="E1884" s="2">
        <v>2018</v>
      </c>
      <c r="F1884" s="3" t="s">
        <v>3855</v>
      </c>
      <c r="G1884" s="2" t="s">
        <v>12</v>
      </c>
      <c r="H1884" s="3" t="s">
        <v>4400</v>
      </c>
      <c r="I1884" s="12" t="s">
        <v>4467</v>
      </c>
    </row>
    <row r="1885" spans="1:9" ht="60" x14ac:dyDescent="0.25">
      <c r="A1885" s="2">
        <v>1882</v>
      </c>
      <c r="B1885" s="3" t="s">
        <v>4473</v>
      </c>
      <c r="C1885" s="3" t="s">
        <v>4474</v>
      </c>
      <c r="D1885" s="3" t="s">
        <v>4474</v>
      </c>
      <c r="E1885" s="2">
        <v>2018</v>
      </c>
      <c r="F1885" s="3" t="s">
        <v>3855</v>
      </c>
      <c r="G1885" s="2" t="s">
        <v>12</v>
      </c>
      <c r="H1885" s="3" t="s">
        <v>4400</v>
      </c>
      <c r="I1885" s="12" t="s">
        <v>4475</v>
      </c>
    </row>
    <row r="1886" spans="1:9" ht="45" x14ac:dyDescent="0.25">
      <c r="A1886" s="2">
        <v>1883</v>
      </c>
      <c r="B1886" s="3" t="s">
        <v>3847</v>
      </c>
      <c r="C1886" s="3" t="s">
        <v>3848</v>
      </c>
      <c r="D1886" s="3" t="s">
        <v>3848</v>
      </c>
      <c r="E1886" s="2">
        <v>2019</v>
      </c>
      <c r="F1886" s="3" t="s">
        <v>3849</v>
      </c>
      <c r="G1886" s="2" t="s">
        <v>12</v>
      </c>
      <c r="H1886" s="3" t="s">
        <v>3850</v>
      </c>
      <c r="I1886" s="12" t="s">
        <v>4476</v>
      </c>
    </row>
    <row r="1887" spans="1:9" ht="60" x14ac:dyDescent="0.25">
      <c r="A1887" s="2">
        <v>1884</v>
      </c>
      <c r="B1887" s="3" t="s">
        <v>3847</v>
      </c>
      <c r="C1887" s="3" t="s">
        <v>3851</v>
      </c>
      <c r="D1887" s="3" t="s">
        <v>3851</v>
      </c>
      <c r="E1887" s="2">
        <v>2019</v>
      </c>
      <c r="F1887" s="3">
        <v>51098391</v>
      </c>
      <c r="G1887" s="2" t="s">
        <v>12</v>
      </c>
      <c r="H1887" s="3" t="s">
        <v>3852</v>
      </c>
      <c r="I1887" s="12" t="s">
        <v>4477</v>
      </c>
    </row>
    <row r="1888" spans="1:9" ht="75" x14ac:dyDescent="0.25">
      <c r="A1888" s="2">
        <v>1885</v>
      </c>
      <c r="B1888" s="3" t="s">
        <v>3853</v>
      </c>
      <c r="C1888" s="3" t="s">
        <v>3854</v>
      </c>
      <c r="D1888" s="3" t="s">
        <v>3854</v>
      </c>
      <c r="E1888" s="2">
        <v>2019</v>
      </c>
      <c r="F1888" s="3" t="s">
        <v>3855</v>
      </c>
      <c r="G1888" s="2" t="s">
        <v>12</v>
      </c>
      <c r="H1888" s="3" t="s">
        <v>3856</v>
      </c>
      <c r="I1888" s="12" t="s">
        <v>4478</v>
      </c>
    </row>
    <row r="1889" spans="1:9" ht="90" x14ac:dyDescent="0.25">
      <c r="A1889" s="2">
        <v>1886</v>
      </c>
      <c r="B1889" s="3" t="s">
        <v>3857</v>
      </c>
      <c r="C1889" s="3" t="s">
        <v>4479</v>
      </c>
      <c r="D1889" s="3" t="s">
        <v>4479</v>
      </c>
      <c r="E1889" s="2">
        <v>2019</v>
      </c>
      <c r="F1889" s="3" t="s">
        <v>3855</v>
      </c>
      <c r="G1889" s="2" t="s">
        <v>12</v>
      </c>
      <c r="H1889" s="3" t="s">
        <v>3859</v>
      </c>
      <c r="I1889" s="12" t="s">
        <v>4480</v>
      </c>
    </row>
    <row r="1890" spans="1:9" ht="60" x14ac:dyDescent="0.25">
      <c r="A1890" s="2">
        <v>1887</v>
      </c>
      <c r="B1890" s="3" t="s">
        <v>3857</v>
      </c>
      <c r="C1890" s="3" t="s">
        <v>3860</v>
      </c>
      <c r="D1890" s="3" t="s">
        <v>3860</v>
      </c>
      <c r="E1890" s="2">
        <v>2019</v>
      </c>
      <c r="F1890" s="3" t="s">
        <v>3855</v>
      </c>
      <c r="G1890" s="2" t="s">
        <v>12</v>
      </c>
      <c r="H1890" s="3" t="s">
        <v>3859</v>
      </c>
      <c r="I1890" s="12" t="s">
        <v>4481</v>
      </c>
    </row>
    <row r="1891" spans="1:9" ht="75" x14ac:dyDescent="0.25">
      <c r="A1891" s="2">
        <v>1888</v>
      </c>
      <c r="B1891" s="3" t="s">
        <v>3857</v>
      </c>
      <c r="C1891" s="3" t="s">
        <v>3861</v>
      </c>
      <c r="D1891" s="3" t="s">
        <v>3861</v>
      </c>
      <c r="E1891" s="2">
        <v>2019</v>
      </c>
      <c r="F1891" s="3" t="s">
        <v>3855</v>
      </c>
      <c r="G1891" s="2" t="s">
        <v>12</v>
      </c>
      <c r="H1891" s="3" t="s">
        <v>3859</v>
      </c>
      <c r="I1891" s="12" t="s">
        <v>4482</v>
      </c>
    </row>
    <row r="1892" spans="1:9" ht="60" x14ac:dyDescent="0.25">
      <c r="A1892" s="2">
        <v>1889</v>
      </c>
      <c r="B1892" s="3" t="s">
        <v>3847</v>
      </c>
      <c r="C1892" s="3" t="s">
        <v>4483</v>
      </c>
      <c r="D1892" s="3" t="s">
        <v>4483</v>
      </c>
      <c r="E1892" s="2">
        <v>2020</v>
      </c>
      <c r="F1892" s="3" t="s">
        <v>4484</v>
      </c>
      <c r="G1892" s="2" t="s">
        <v>12</v>
      </c>
      <c r="H1892" s="3" t="s">
        <v>48</v>
      </c>
      <c r="I1892" s="12" t="s">
        <v>4485</v>
      </c>
    </row>
    <row r="1893" spans="1:9" ht="120" x14ac:dyDescent="0.25">
      <c r="A1893" s="2">
        <v>1890</v>
      </c>
      <c r="B1893" s="3" t="s">
        <v>3847</v>
      </c>
      <c r="C1893" s="3" t="s">
        <v>4486</v>
      </c>
      <c r="D1893" s="3" t="s">
        <v>4486</v>
      </c>
      <c r="E1893" s="2">
        <v>2020</v>
      </c>
      <c r="F1893" s="3" t="s">
        <v>4487</v>
      </c>
      <c r="G1893" s="2" t="s">
        <v>12</v>
      </c>
      <c r="H1893" s="3" t="s">
        <v>4488</v>
      </c>
      <c r="I1893" s="12" t="s">
        <v>4489</v>
      </c>
    </row>
    <row r="1894" spans="1:9" ht="60" x14ac:dyDescent="0.25">
      <c r="A1894" s="2">
        <v>1891</v>
      </c>
      <c r="B1894" s="3" t="s">
        <v>3847</v>
      </c>
      <c r="C1894" s="3" t="s">
        <v>4490</v>
      </c>
      <c r="D1894" s="3" t="s">
        <v>4490</v>
      </c>
      <c r="E1894" s="2">
        <v>2020</v>
      </c>
      <c r="F1894" s="3" t="s">
        <v>4487</v>
      </c>
      <c r="G1894" s="2" t="s">
        <v>12</v>
      </c>
      <c r="H1894" s="3" t="s">
        <v>4488</v>
      </c>
      <c r="I1894" s="12" t="s">
        <v>4491</v>
      </c>
    </row>
    <row r="1895" spans="1:9" ht="75" x14ac:dyDescent="0.25">
      <c r="A1895" s="2">
        <v>1892</v>
      </c>
      <c r="B1895" s="3" t="s">
        <v>3847</v>
      </c>
      <c r="C1895" s="3" t="s">
        <v>2582</v>
      </c>
      <c r="D1895" s="3" t="s">
        <v>2582</v>
      </c>
      <c r="E1895" s="2">
        <v>2020</v>
      </c>
      <c r="F1895" s="3">
        <v>22968016</v>
      </c>
      <c r="G1895" s="2" t="s">
        <v>12</v>
      </c>
      <c r="H1895" s="3" t="s">
        <v>4492</v>
      </c>
      <c r="I1895" s="12" t="s">
        <v>4493</v>
      </c>
    </row>
    <row r="1896" spans="1:9" ht="60" x14ac:dyDescent="0.25">
      <c r="A1896" s="2">
        <v>1893</v>
      </c>
      <c r="B1896" s="3" t="s">
        <v>4462</v>
      </c>
      <c r="C1896" s="3" t="s">
        <v>2377</v>
      </c>
      <c r="D1896" s="3" t="s">
        <v>2377</v>
      </c>
      <c r="E1896" s="2">
        <v>2020</v>
      </c>
      <c r="F1896" s="3" t="s">
        <v>3855</v>
      </c>
      <c r="G1896" s="2" t="s">
        <v>12</v>
      </c>
      <c r="H1896" s="3" t="s">
        <v>4400</v>
      </c>
      <c r="I1896" s="12" t="s">
        <v>4494</v>
      </c>
    </row>
    <row r="1897" spans="1:9" ht="75" x14ac:dyDescent="0.25">
      <c r="A1897" s="2">
        <v>1894</v>
      </c>
      <c r="B1897" s="3" t="s">
        <v>3857</v>
      </c>
      <c r="C1897" s="3" t="s">
        <v>4495</v>
      </c>
      <c r="D1897" s="3" t="s">
        <v>4495</v>
      </c>
      <c r="E1897" s="2">
        <v>2020</v>
      </c>
      <c r="F1897" s="3" t="s">
        <v>3855</v>
      </c>
      <c r="G1897" s="2" t="s">
        <v>12</v>
      </c>
      <c r="H1897" s="3" t="s">
        <v>4400</v>
      </c>
      <c r="I1897" s="12" t="s">
        <v>4496</v>
      </c>
    </row>
    <row r="1898" spans="1:9" ht="75" x14ac:dyDescent="0.25">
      <c r="A1898" s="2">
        <v>1895</v>
      </c>
      <c r="B1898" s="3" t="s">
        <v>3857</v>
      </c>
      <c r="C1898" s="3" t="s">
        <v>4497</v>
      </c>
      <c r="D1898" s="3" t="s">
        <v>4497</v>
      </c>
      <c r="E1898" s="2">
        <v>2020</v>
      </c>
      <c r="F1898" s="3" t="s">
        <v>3855</v>
      </c>
      <c r="G1898" s="2" t="s">
        <v>12</v>
      </c>
      <c r="H1898" s="3" t="s">
        <v>4400</v>
      </c>
      <c r="I1898" s="12" t="s">
        <v>4498</v>
      </c>
    </row>
    <row r="1899" spans="1:9" ht="75" x14ac:dyDescent="0.25">
      <c r="A1899" s="2">
        <v>1896</v>
      </c>
      <c r="B1899" s="3" t="s">
        <v>3857</v>
      </c>
      <c r="C1899" s="3" t="s">
        <v>4499</v>
      </c>
      <c r="D1899" s="3" t="s">
        <v>4499</v>
      </c>
      <c r="E1899" s="2">
        <v>2020</v>
      </c>
      <c r="F1899" s="3" t="s">
        <v>3855</v>
      </c>
      <c r="G1899" s="2" t="s">
        <v>12</v>
      </c>
      <c r="H1899" s="3" t="s">
        <v>4400</v>
      </c>
      <c r="I1899" s="12" t="s">
        <v>4500</v>
      </c>
    </row>
    <row r="1900" spans="1:9" ht="75" x14ac:dyDescent="0.25">
      <c r="A1900" s="2">
        <v>1897</v>
      </c>
      <c r="B1900" s="3" t="s">
        <v>3857</v>
      </c>
      <c r="C1900" s="3" t="s">
        <v>4501</v>
      </c>
      <c r="D1900" s="3" t="s">
        <v>4501</v>
      </c>
      <c r="E1900" s="2">
        <v>2020</v>
      </c>
      <c r="F1900" s="3" t="s">
        <v>4487</v>
      </c>
      <c r="G1900" s="2" t="s">
        <v>12</v>
      </c>
      <c r="H1900" s="3" t="s">
        <v>4488</v>
      </c>
      <c r="I1900" s="12" t="s">
        <v>4502</v>
      </c>
    </row>
    <row r="1901" spans="1:9" ht="75" x14ac:dyDescent="0.25">
      <c r="A1901" s="2">
        <v>1898</v>
      </c>
      <c r="B1901" s="3" t="s">
        <v>3857</v>
      </c>
      <c r="C1901" s="3" t="s">
        <v>4503</v>
      </c>
      <c r="D1901" s="3" t="s">
        <v>4503</v>
      </c>
      <c r="E1901" s="2">
        <v>2020</v>
      </c>
      <c r="F1901" s="3" t="s">
        <v>4487</v>
      </c>
      <c r="G1901" s="2" t="s">
        <v>12</v>
      </c>
      <c r="H1901" s="3" t="s">
        <v>4488</v>
      </c>
      <c r="I1901" s="12" t="s">
        <v>4504</v>
      </c>
    </row>
    <row r="1902" spans="1:9" ht="90" x14ac:dyDescent="0.25">
      <c r="A1902" s="2">
        <v>1899</v>
      </c>
      <c r="B1902" s="3" t="s">
        <v>3857</v>
      </c>
      <c r="C1902" s="3" t="s">
        <v>4505</v>
      </c>
      <c r="D1902" s="3" t="s">
        <v>4505</v>
      </c>
      <c r="E1902" s="2">
        <v>2020</v>
      </c>
      <c r="F1902" s="3" t="s">
        <v>4487</v>
      </c>
      <c r="G1902" s="2" t="s">
        <v>12</v>
      </c>
      <c r="H1902" s="3" t="s">
        <v>4488</v>
      </c>
      <c r="I1902" s="12" t="s">
        <v>4506</v>
      </c>
    </row>
    <row r="1903" spans="1:9" ht="90" x14ac:dyDescent="0.25">
      <c r="A1903" s="2">
        <v>1900</v>
      </c>
      <c r="B1903" s="3" t="s">
        <v>3857</v>
      </c>
      <c r="C1903" s="3" t="s">
        <v>4507</v>
      </c>
      <c r="D1903" s="3" t="s">
        <v>4507</v>
      </c>
      <c r="E1903" s="2">
        <v>2020</v>
      </c>
      <c r="F1903" s="3" t="s">
        <v>4487</v>
      </c>
      <c r="G1903" s="2" t="s">
        <v>12</v>
      </c>
      <c r="H1903" s="3" t="s">
        <v>4488</v>
      </c>
      <c r="I1903" s="12" t="s">
        <v>4508</v>
      </c>
    </row>
    <row r="1904" spans="1:9" ht="60" x14ac:dyDescent="0.25">
      <c r="A1904" s="2">
        <v>1901</v>
      </c>
      <c r="B1904" s="3" t="s">
        <v>3857</v>
      </c>
      <c r="C1904" s="3" t="s">
        <v>4509</v>
      </c>
      <c r="D1904" s="3" t="s">
        <v>4509</v>
      </c>
      <c r="E1904" s="2">
        <v>2020</v>
      </c>
      <c r="F1904" s="3" t="s">
        <v>4487</v>
      </c>
      <c r="G1904" s="2" t="s">
        <v>12</v>
      </c>
      <c r="H1904" s="3" t="s">
        <v>4488</v>
      </c>
      <c r="I1904" s="12" t="s">
        <v>4510</v>
      </c>
    </row>
    <row r="1905" spans="1:9" ht="45" x14ac:dyDescent="0.25">
      <c r="A1905" s="2">
        <v>1902</v>
      </c>
      <c r="B1905" s="3" t="s">
        <v>3857</v>
      </c>
      <c r="C1905" s="3" t="s">
        <v>4511</v>
      </c>
      <c r="D1905" s="3" t="s">
        <v>4511</v>
      </c>
      <c r="E1905" s="2">
        <v>2020</v>
      </c>
      <c r="F1905" s="3" t="s">
        <v>4487</v>
      </c>
      <c r="G1905" s="2" t="s">
        <v>12</v>
      </c>
      <c r="H1905" s="3" t="s">
        <v>4488</v>
      </c>
      <c r="I1905" s="12" t="s">
        <v>4512</v>
      </c>
    </row>
    <row r="1906" spans="1:9" ht="60" x14ac:dyDescent="0.25">
      <c r="A1906" s="2">
        <v>1903</v>
      </c>
      <c r="B1906" s="3" t="s">
        <v>3857</v>
      </c>
      <c r="C1906" s="3" t="s">
        <v>4513</v>
      </c>
      <c r="D1906" s="3" t="s">
        <v>4513</v>
      </c>
      <c r="E1906" s="2">
        <v>2020</v>
      </c>
      <c r="F1906" s="3" t="s">
        <v>4487</v>
      </c>
      <c r="G1906" s="2" t="s">
        <v>12</v>
      </c>
      <c r="H1906" s="3" t="s">
        <v>4488</v>
      </c>
      <c r="I1906" s="12" t="s">
        <v>4514</v>
      </c>
    </row>
    <row r="1907" spans="1:9" ht="60" x14ac:dyDescent="0.25">
      <c r="A1907" s="2">
        <v>1904</v>
      </c>
      <c r="B1907" s="3" t="s">
        <v>3857</v>
      </c>
      <c r="C1907" s="3" t="s">
        <v>4515</v>
      </c>
      <c r="D1907" s="3" t="s">
        <v>4515</v>
      </c>
      <c r="E1907" s="2">
        <v>2020</v>
      </c>
      <c r="F1907" s="3" t="s">
        <v>4487</v>
      </c>
      <c r="G1907" s="2" t="s">
        <v>12</v>
      </c>
      <c r="H1907" s="3" t="s">
        <v>4488</v>
      </c>
      <c r="I1907" s="12" t="s">
        <v>4516</v>
      </c>
    </row>
    <row r="1908" spans="1:9" ht="75" x14ac:dyDescent="0.25">
      <c r="A1908" s="2">
        <v>1905</v>
      </c>
      <c r="B1908" s="3" t="s">
        <v>4439</v>
      </c>
      <c r="C1908" s="3" t="s">
        <v>4517</v>
      </c>
      <c r="D1908" s="3" t="s">
        <v>4517</v>
      </c>
      <c r="E1908" s="2">
        <v>2020</v>
      </c>
      <c r="F1908" s="3" t="s">
        <v>4487</v>
      </c>
      <c r="G1908" s="2" t="s">
        <v>12</v>
      </c>
      <c r="H1908" s="3" t="s">
        <v>4488</v>
      </c>
      <c r="I1908" s="15" t="s">
        <v>3204</v>
      </c>
    </row>
    <row r="1909" spans="1:9" ht="75" x14ac:dyDescent="0.25">
      <c r="A1909" s="2">
        <v>1906</v>
      </c>
      <c r="B1909" s="3" t="s">
        <v>4439</v>
      </c>
      <c r="C1909" s="3" t="s">
        <v>4518</v>
      </c>
      <c r="D1909" s="3" t="s">
        <v>4518</v>
      </c>
      <c r="E1909" s="2">
        <v>2020</v>
      </c>
      <c r="F1909" s="3">
        <v>22968016</v>
      </c>
      <c r="G1909" s="2" t="s">
        <v>12</v>
      </c>
      <c r="H1909" s="3" t="s">
        <v>4492</v>
      </c>
      <c r="I1909" s="15" t="s">
        <v>3204</v>
      </c>
    </row>
    <row r="1910" spans="1:9" ht="105" x14ac:dyDescent="0.25">
      <c r="A1910" s="2">
        <v>1907</v>
      </c>
      <c r="B1910" s="3" t="s">
        <v>4439</v>
      </c>
      <c r="C1910" s="3" t="s">
        <v>1615</v>
      </c>
      <c r="D1910" s="3" t="s">
        <v>1615</v>
      </c>
      <c r="E1910" s="2">
        <v>2020</v>
      </c>
      <c r="F1910" s="3">
        <v>22968016</v>
      </c>
      <c r="G1910" s="2" t="s">
        <v>12</v>
      </c>
      <c r="H1910" s="3" t="s">
        <v>4492</v>
      </c>
      <c r="I1910" s="15" t="s">
        <v>3204</v>
      </c>
    </row>
    <row r="1911" spans="1:9" ht="45" x14ac:dyDescent="0.25">
      <c r="A1911" s="2">
        <v>1908</v>
      </c>
      <c r="B1911" s="3" t="s">
        <v>4439</v>
      </c>
      <c r="C1911" s="3" t="s">
        <v>1579</v>
      </c>
      <c r="D1911" s="3" t="s">
        <v>1579</v>
      </c>
      <c r="E1911" s="2">
        <v>2020</v>
      </c>
      <c r="F1911" s="3">
        <v>22968016</v>
      </c>
      <c r="G1911" s="2" t="s">
        <v>12</v>
      </c>
      <c r="H1911" s="3" t="s">
        <v>4492</v>
      </c>
      <c r="I1911" s="15" t="s">
        <v>3204</v>
      </c>
    </row>
    <row r="1912" spans="1:9" ht="135" x14ac:dyDescent="0.25">
      <c r="A1912" s="2">
        <v>1909</v>
      </c>
      <c r="B1912" s="3" t="s">
        <v>4439</v>
      </c>
      <c r="C1912" s="3" t="s">
        <v>4519</v>
      </c>
      <c r="D1912" s="3" t="s">
        <v>4519</v>
      </c>
      <c r="E1912" s="2">
        <v>2020</v>
      </c>
      <c r="F1912" s="3">
        <v>22968016</v>
      </c>
      <c r="G1912" s="2" t="s">
        <v>12</v>
      </c>
      <c r="H1912" s="3" t="s">
        <v>4492</v>
      </c>
      <c r="I1912" s="15" t="s">
        <v>3204</v>
      </c>
    </row>
    <row r="1913" spans="1:9" ht="90" x14ac:dyDescent="0.25">
      <c r="A1913" s="2">
        <v>1910</v>
      </c>
      <c r="B1913" s="3" t="s">
        <v>4439</v>
      </c>
      <c r="C1913" s="3" t="s">
        <v>809</v>
      </c>
      <c r="D1913" s="3" t="s">
        <v>809</v>
      </c>
      <c r="E1913" s="2">
        <v>2020</v>
      </c>
      <c r="F1913" s="3" t="s">
        <v>704</v>
      </c>
      <c r="G1913" s="2" t="s">
        <v>12</v>
      </c>
      <c r="H1913" s="3" t="s">
        <v>4520</v>
      </c>
      <c r="I1913" s="15" t="s">
        <v>3204</v>
      </c>
    </row>
    <row r="1914" spans="1:9" ht="165" x14ac:dyDescent="0.25">
      <c r="A1914" s="2">
        <v>1911</v>
      </c>
      <c r="B1914" s="3" t="s">
        <v>4521</v>
      </c>
      <c r="C1914" s="3" t="s">
        <v>4522</v>
      </c>
      <c r="D1914" s="3" t="s">
        <v>4522</v>
      </c>
      <c r="E1914" s="2">
        <v>2020</v>
      </c>
      <c r="F1914" s="3" t="s">
        <v>4487</v>
      </c>
      <c r="G1914" s="2" t="s">
        <v>12</v>
      </c>
      <c r="H1914" s="3" t="s">
        <v>4488</v>
      </c>
      <c r="I1914" s="12" t="s">
        <v>4523</v>
      </c>
    </row>
    <row r="1915" spans="1:9" ht="60" x14ac:dyDescent="0.25">
      <c r="A1915" s="2">
        <v>1912</v>
      </c>
      <c r="B1915" s="3" t="s">
        <v>3853</v>
      </c>
      <c r="C1915" s="3" t="s">
        <v>4524</v>
      </c>
      <c r="D1915" s="3" t="s">
        <v>4524</v>
      </c>
      <c r="E1915" s="2">
        <v>2020</v>
      </c>
      <c r="F1915" s="3" t="s">
        <v>3855</v>
      </c>
      <c r="G1915" s="2" t="s">
        <v>12</v>
      </c>
      <c r="H1915" s="3" t="s">
        <v>4400</v>
      </c>
      <c r="I1915" s="12" t="s">
        <v>4525</v>
      </c>
    </row>
    <row r="1916" spans="1:9" ht="60" x14ac:dyDescent="0.25">
      <c r="A1916" s="2">
        <v>1913</v>
      </c>
      <c r="B1916" s="3" t="s">
        <v>4462</v>
      </c>
      <c r="C1916" s="3" t="s">
        <v>4526</v>
      </c>
      <c r="D1916" s="3" t="s">
        <v>4526</v>
      </c>
      <c r="E1916" s="2">
        <v>2021</v>
      </c>
      <c r="F1916" s="3" t="s">
        <v>3855</v>
      </c>
      <c r="G1916" s="2" t="s">
        <v>12</v>
      </c>
      <c r="H1916" s="3" t="s">
        <v>3859</v>
      </c>
      <c r="I1916" s="12" t="s">
        <v>4527</v>
      </c>
    </row>
    <row r="1917" spans="1:9" ht="150" x14ac:dyDescent="0.25">
      <c r="A1917" s="2">
        <v>1914</v>
      </c>
      <c r="B1917" s="3" t="s">
        <v>3857</v>
      </c>
      <c r="C1917" s="3" t="s">
        <v>4528</v>
      </c>
      <c r="D1917" s="3" t="s">
        <v>4528</v>
      </c>
      <c r="E1917" s="2">
        <v>2021</v>
      </c>
      <c r="F1917" s="3" t="s">
        <v>3855</v>
      </c>
      <c r="G1917" s="2" t="s">
        <v>12</v>
      </c>
      <c r="H1917" s="3" t="s">
        <v>3859</v>
      </c>
      <c r="I1917" s="12" t="s">
        <v>4528</v>
      </c>
    </row>
    <row r="1918" spans="1:9" ht="75" x14ac:dyDescent="0.25">
      <c r="A1918" s="2">
        <v>1915</v>
      </c>
      <c r="B1918" s="3" t="s">
        <v>3857</v>
      </c>
      <c r="C1918" s="3" t="s">
        <v>4529</v>
      </c>
      <c r="D1918" s="3" t="s">
        <v>4529</v>
      </c>
      <c r="E1918" s="2">
        <v>2021</v>
      </c>
      <c r="F1918" s="3" t="s">
        <v>3855</v>
      </c>
      <c r="G1918" s="2" t="s">
        <v>12</v>
      </c>
      <c r="H1918" s="3" t="s">
        <v>3859</v>
      </c>
      <c r="I1918" s="12" t="s">
        <v>4530</v>
      </c>
    </row>
    <row r="1919" spans="1:9" ht="60" x14ac:dyDescent="0.25">
      <c r="A1919" s="2">
        <v>1916</v>
      </c>
      <c r="B1919" s="3" t="s">
        <v>3857</v>
      </c>
      <c r="C1919" s="3" t="s">
        <v>4531</v>
      </c>
      <c r="D1919" s="3" t="s">
        <v>4531</v>
      </c>
      <c r="E1919" s="2">
        <v>2021</v>
      </c>
      <c r="F1919" s="3" t="s">
        <v>3855</v>
      </c>
      <c r="G1919" s="2" t="s">
        <v>12</v>
      </c>
      <c r="H1919" s="3" t="s">
        <v>3859</v>
      </c>
      <c r="I1919" s="12" t="s">
        <v>4532</v>
      </c>
    </row>
    <row r="1920" spans="1:9" ht="60" x14ac:dyDescent="0.25">
      <c r="A1920" s="2">
        <v>1917</v>
      </c>
      <c r="B1920" s="3" t="s">
        <v>3857</v>
      </c>
      <c r="C1920" s="3" t="s">
        <v>4533</v>
      </c>
      <c r="D1920" s="3" t="s">
        <v>4533</v>
      </c>
      <c r="E1920" s="2">
        <v>2021</v>
      </c>
      <c r="F1920" s="3" t="s">
        <v>3855</v>
      </c>
      <c r="G1920" s="2" t="s">
        <v>12</v>
      </c>
      <c r="H1920" s="3" t="s">
        <v>3859</v>
      </c>
      <c r="I1920" s="12" t="s">
        <v>4534</v>
      </c>
    </row>
    <row r="1921" spans="1:9" ht="60" x14ac:dyDescent="0.25">
      <c r="A1921" s="2">
        <v>1918</v>
      </c>
      <c r="B1921" s="3" t="s">
        <v>3857</v>
      </c>
      <c r="C1921" s="3" t="s">
        <v>4535</v>
      </c>
      <c r="D1921" s="3" t="s">
        <v>4535</v>
      </c>
      <c r="E1921" s="2">
        <v>2021</v>
      </c>
      <c r="F1921" s="3" t="s">
        <v>3855</v>
      </c>
      <c r="G1921" s="2" t="s">
        <v>12</v>
      </c>
      <c r="H1921" s="3" t="s">
        <v>3859</v>
      </c>
      <c r="I1921" s="12" t="s">
        <v>4536</v>
      </c>
    </row>
    <row r="1922" spans="1:9" ht="60" x14ac:dyDescent="0.25">
      <c r="A1922" s="2">
        <v>1919</v>
      </c>
      <c r="B1922" s="3" t="s">
        <v>3857</v>
      </c>
      <c r="C1922" s="3" t="s">
        <v>4537</v>
      </c>
      <c r="D1922" s="3" t="s">
        <v>4537</v>
      </c>
      <c r="E1922" s="2">
        <v>2021</v>
      </c>
      <c r="F1922" s="3" t="s">
        <v>3855</v>
      </c>
      <c r="G1922" s="2" t="s">
        <v>12</v>
      </c>
      <c r="H1922" s="3" t="s">
        <v>3859</v>
      </c>
      <c r="I1922" s="12" t="s">
        <v>4538</v>
      </c>
    </row>
    <row r="1923" spans="1:9" ht="75" x14ac:dyDescent="0.25">
      <c r="A1923" s="2">
        <v>1920</v>
      </c>
      <c r="B1923" s="3" t="s">
        <v>3857</v>
      </c>
      <c r="C1923" s="3" t="s">
        <v>4539</v>
      </c>
      <c r="D1923" s="3" t="s">
        <v>4539</v>
      </c>
      <c r="E1923" s="2">
        <v>2021</v>
      </c>
      <c r="F1923" s="3" t="s">
        <v>3855</v>
      </c>
      <c r="G1923" s="2" t="s">
        <v>12</v>
      </c>
      <c r="H1923" s="3" t="s">
        <v>3859</v>
      </c>
      <c r="I1923" s="12" t="s">
        <v>4540</v>
      </c>
    </row>
    <row r="1924" spans="1:9" ht="60" x14ac:dyDescent="0.25">
      <c r="A1924" s="2">
        <v>1921</v>
      </c>
      <c r="B1924" s="3" t="s">
        <v>3857</v>
      </c>
      <c r="C1924" s="3" t="s">
        <v>4541</v>
      </c>
      <c r="D1924" s="3" t="s">
        <v>4541</v>
      </c>
      <c r="E1924" s="2">
        <v>2021</v>
      </c>
      <c r="F1924" s="3" t="s">
        <v>3855</v>
      </c>
      <c r="G1924" s="2" t="s">
        <v>12</v>
      </c>
      <c r="H1924" s="3" t="s">
        <v>3859</v>
      </c>
      <c r="I1924" s="12" t="s">
        <v>4542</v>
      </c>
    </row>
    <row r="1925" spans="1:9" ht="75" x14ac:dyDescent="0.25">
      <c r="A1925" s="2">
        <v>1922</v>
      </c>
      <c r="B1925" s="3" t="s">
        <v>4543</v>
      </c>
      <c r="C1925" s="3" t="s">
        <v>4544</v>
      </c>
      <c r="D1925" s="3" t="s">
        <v>4544</v>
      </c>
      <c r="E1925" s="2">
        <v>2023</v>
      </c>
      <c r="F1925" s="3" t="s">
        <v>704</v>
      </c>
      <c r="G1925" s="2" t="s">
        <v>12</v>
      </c>
      <c r="H1925" s="3" t="s">
        <v>4545</v>
      </c>
      <c r="I1925" s="15" t="s">
        <v>3204</v>
      </c>
    </row>
    <row r="1926" spans="1:9" ht="75" x14ac:dyDescent="0.25">
      <c r="A1926" s="2">
        <v>1923</v>
      </c>
      <c r="B1926" s="3" t="s">
        <v>4543</v>
      </c>
      <c r="C1926" s="3" t="s">
        <v>4546</v>
      </c>
      <c r="D1926" s="3" t="s">
        <v>4546</v>
      </c>
      <c r="E1926" s="2">
        <v>2023</v>
      </c>
      <c r="F1926" s="3" t="s">
        <v>704</v>
      </c>
      <c r="G1926" s="2" t="s">
        <v>12</v>
      </c>
      <c r="H1926" s="3" t="s">
        <v>4545</v>
      </c>
      <c r="I1926" s="15" t="s">
        <v>3204</v>
      </c>
    </row>
    <row r="1927" spans="1:9" ht="60" x14ac:dyDescent="0.25">
      <c r="A1927" s="2">
        <v>1924</v>
      </c>
      <c r="B1927" s="3" t="s">
        <v>4543</v>
      </c>
      <c r="C1927" s="3" t="s">
        <v>4547</v>
      </c>
      <c r="D1927" s="3" t="s">
        <v>4547</v>
      </c>
      <c r="E1927" s="2">
        <v>2023</v>
      </c>
      <c r="F1927" s="3" t="s">
        <v>4548</v>
      </c>
      <c r="G1927" s="2" t="s">
        <v>12</v>
      </c>
      <c r="H1927" s="3" t="s">
        <v>4549</v>
      </c>
      <c r="I1927" s="15" t="s">
        <v>3204</v>
      </c>
    </row>
    <row r="1928" spans="1:9" ht="60" x14ac:dyDescent="0.25">
      <c r="A1928" s="2">
        <v>1925</v>
      </c>
      <c r="B1928" s="3" t="s">
        <v>4543</v>
      </c>
      <c r="C1928" s="3" t="s">
        <v>4550</v>
      </c>
      <c r="D1928" s="3" t="s">
        <v>4550</v>
      </c>
      <c r="E1928" s="2">
        <v>2023</v>
      </c>
      <c r="F1928" s="3" t="s">
        <v>4548</v>
      </c>
      <c r="G1928" s="2" t="s">
        <v>12</v>
      </c>
      <c r="H1928" s="3" t="s">
        <v>4549</v>
      </c>
      <c r="I1928" s="15" t="s">
        <v>3204</v>
      </c>
    </row>
    <row r="1929" spans="1:9" ht="45" x14ac:dyDescent="0.25">
      <c r="A1929" s="2">
        <v>1926</v>
      </c>
      <c r="B1929" s="3" t="s">
        <v>3862</v>
      </c>
      <c r="C1929" s="3" t="s">
        <v>3863</v>
      </c>
      <c r="D1929" s="3" t="s">
        <v>3863</v>
      </c>
      <c r="E1929" s="2">
        <v>2016</v>
      </c>
      <c r="F1929" s="3" t="s">
        <v>3864</v>
      </c>
      <c r="G1929" s="2" t="s">
        <v>12</v>
      </c>
      <c r="H1929" s="3" t="s">
        <v>3865</v>
      </c>
      <c r="I1929" s="12" t="s">
        <v>4551</v>
      </c>
    </row>
    <row r="1930" spans="1:9" ht="45" x14ac:dyDescent="0.25">
      <c r="A1930" s="2">
        <v>1927</v>
      </c>
      <c r="B1930" s="3" t="s">
        <v>3862</v>
      </c>
      <c r="C1930" s="3" t="s">
        <v>4552</v>
      </c>
      <c r="D1930" s="3" t="s">
        <v>4552</v>
      </c>
      <c r="E1930" s="2">
        <v>2018</v>
      </c>
      <c r="F1930" s="3" t="s">
        <v>4553</v>
      </c>
      <c r="G1930" s="2" t="s">
        <v>12</v>
      </c>
      <c r="H1930" s="3" t="s">
        <v>3348</v>
      </c>
      <c r="I1930" s="12" t="s">
        <v>3204</v>
      </c>
    </row>
    <row r="1931" spans="1:9" ht="45" x14ac:dyDescent="0.25">
      <c r="A1931" s="2">
        <v>1928</v>
      </c>
      <c r="B1931" s="3" t="s">
        <v>3862</v>
      </c>
      <c r="C1931" s="3" t="s">
        <v>4554</v>
      </c>
      <c r="D1931" s="3" t="s">
        <v>4554</v>
      </c>
      <c r="E1931" s="2">
        <v>2018</v>
      </c>
      <c r="F1931" s="3" t="s">
        <v>4553</v>
      </c>
      <c r="G1931" s="2" t="s">
        <v>12</v>
      </c>
      <c r="H1931" s="3" t="s">
        <v>4555</v>
      </c>
      <c r="I1931" s="12" t="s">
        <v>3204</v>
      </c>
    </row>
    <row r="1932" spans="1:9" ht="60" x14ac:dyDescent="0.25">
      <c r="A1932" s="2">
        <v>1929</v>
      </c>
      <c r="B1932" s="3" t="s">
        <v>3862</v>
      </c>
      <c r="C1932" s="3" t="s">
        <v>4556</v>
      </c>
      <c r="D1932" s="3" t="s">
        <v>4556</v>
      </c>
      <c r="E1932" s="2">
        <v>2018</v>
      </c>
      <c r="F1932" s="3" t="s">
        <v>4553</v>
      </c>
      <c r="G1932" s="2" t="s">
        <v>12</v>
      </c>
      <c r="H1932" s="3" t="s">
        <v>3348</v>
      </c>
      <c r="I1932" s="12" t="s">
        <v>3204</v>
      </c>
    </row>
    <row r="1933" spans="1:9" ht="45" x14ac:dyDescent="0.25">
      <c r="A1933" s="2">
        <v>1930</v>
      </c>
      <c r="B1933" s="3" t="s">
        <v>3862</v>
      </c>
      <c r="C1933" s="3" t="s">
        <v>4557</v>
      </c>
      <c r="D1933" s="3" t="s">
        <v>4557</v>
      </c>
      <c r="E1933" s="2">
        <v>2018</v>
      </c>
      <c r="F1933" s="3" t="s">
        <v>4553</v>
      </c>
      <c r="G1933" s="2" t="s">
        <v>12</v>
      </c>
      <c r="H1933" s="3" t="s">
        <v>4558</v>
      </c>
      <c r="I1933" s="12" t="s">
        <v>3204</v>
      </c>
    </row>
    <row r="1934" spans="1:9" ht="45" x14ac:dyDescent="0.25">
      <c r="A1934" s="2">
        <v>1931</v>
      </c>
      <c r="B1934" s="3" t="s">
        <v>3862</v>
      </c>
      <c r="C1934" s="3" t="s">
        <v>4559</v>
      </c>
      <c r="D1934" s="3" t="s">
        <v>4559</v>
      </c>
      <c r="E1934" s="2">
        <v>2018</v>
      </c>
      <c r="F1934" s="3" t="s">
        <v>4553</v>
      </c>
      <c r="G1934" s="2" t="s">
        <v>12</v>
      </c>
      <c r="H1934" s="3" t="s">
        <v>4560</v>
      </c>
      <c r="I1934" s="12" t="s">
        <v>3204</v>
      </c>
    </row>
    <row r="1935" spans="1:9" ht="30" x14ac:dyDescent="0.25">
      <c r="A1935" s="2">
        <v>1932</v>
      </c>
      <c r="B1935" s="3" t="s">
        <v>3873</v>
      </c>
      <c r="C1935" s="3" t="s">
        <v>4561</v>
      </c>
      <c r="D1935" s="3" t="s">
        <v>4561</v>
      </c>
      <c r="E1935" s="2">
        <v>2020</v>
      </c>
      <c r="F1935" s="3" t="s">
        <v>3875</v>
      </c>
      <c r="G1935" s="2" t="s">
        <v>12</v>
      </c>
      <c r="H1935" s="3" t="s">
        <v>3876</v>
      </c>
      <c r="I1935" s="12" t="s">
        <v>3204</v>
      </c>
    </row>
    <row r="1936" spans="1:9" ht="60" x14ac:dyDescent="0.25">
      <c r="A1936" s="2">
        <v>1933</v>
      </c>
      <c r="B1936" s="3" t="s">
        <v>3873</v>
      </c>
      <c r="C1936" s="3" t="s">
        <v>4562</v>
      </c>
      <c r="D1936" s="3" t="s">
        <v>4562</v>
      </c>
      <c r="E1936" s="2">
        <v>2023</v>
      </c>
      <c r="F1936" s="3" t="s">
        <v>3884</v>
      </c>
      <c r="G1936" s="2" t="s">
        <v>12</v>
      </c>
      <c r="H1936" s="3" t="s">
        <v>3885</v>
      </c>
      <c r="I1936" s="15" t="s">
        <v>3204</v>
      </c>
    </row>
    <row r="1937" spans="1:9" ht="30" x14ac:dyDescent="0.25">
      <c r="A1937" s="2">
        <v>1934</v>
      </c>
      <c r="B1937" s="3" t="s">
        <v>3890</v>
      </c>
      <c r="C1937" s="3" t="s">
        <v>4563</v>
      </c>
      <c r="D1937" s="3" t="s">
        <v>4563</v>
      </c>
      <c r="E1937" s="2">
        <v>2019</v>
      </c>
      <c r="F1937" s="3" t="s">
        <v>3892</v>
      </c>
      <c r="G1937" s="2" t="s">
        <v>12</v>
      </c>
      <c r="H1937" s="3" t="s">
        <v>3893</v>
      </c>
      <c r="I1937" s="15" t="s">
        <v>3204</v>
      </c>
    </row>
    <row r="1938" spans="1:9" ht="60" x14ac:dyDescent="0.25">
      <c r="A1938" s="2">
        <v>1935</v>
      </c>
      <c r="B1938" s="3" t="s">
        <v>3894</v>
      </c>
      <c r="C1938" s="3" t="s">
        <v>4564</v>
      </c>
      <c r="D1938" s="3" t="s">
        <v>4564</v>
      </c>
      <c r="E1938" s="2">
        <v>2021</v>
      </c>
      <c r="F1938" s="3" t="s">
        <v>3896</v>
      </c>
      <c r="G1938" s="2" t="s">
        <v>12</v>
      </c>
      <c r="H1938" s="3" t="s">
        <v>3897</v>
      </c>
      <c r="I1938" s="15" t="s">
        <v>3204</v>
      </c>
    </row>
    <row r="1939" spans="1:9" ht="45" x14ac:dyDescent="0.25">
      <c r="A1939" s="2">
        <v>1936</v>
      </c>
      <c r="B1939" s="3" t="s">
        <v>3906</v>
      </c>
      <c r="C1939" s="3" t="s">
        <v>4565</v>
      </c>
      <c r="D1939" s="3" t="s">
        <v>4565</v>
      </c>
      <c r="E1939" s="2">
        <v>2019</v>
      </c>
      <c r="F1939" s="3" t="s">
        <v>3908</v>
      </c>
      <c r="G1939" s="2" t="s">
        <v>12</v>
      </c>
      <c r="H1939" s="3" t="s">
        <v>3908</v>
      </c>
      <c r="I1939" s="15" t="s">
        <v>3204</v>
      </c>
    </row>
    <row r="1940" spans="1:9" ht="30" x14ac:dyDescent="0.25">
      <c r="A1940" s="2">
        <v>1937</v>
      </c>
      <c r="B1940" s="3" t="s">
        <v>3906</v>
      </c>
      <c r="C1940" s="3" t="s">
        <v>4566</v>
      </c>
      <c r="D1940" s="3" t="s">
        <v>4566</v>
      </c>
      <c r="E1940" s="2">
        <v>2021</v>
      </c>
      <c r="F1940" s="3" t="s">
        <v>3910</v>
      </c>
      <c r="G1940" s="2" t="s">
        <v>12</v>
      </c>
      <c r="H1940" s="3" t="s">
        <v>3721</v>
      </c>
      <c r="I1940" s="12" t="s">
        <v>4567</v>
      </c>
    </row>
    <row r="1941" spans="1:9" ht="30" x14ac:dyDescent="0.25">
      <c r="A1941" s="2">
        <v>1938</v>
      </c>
      <c r="B1941" s="3" t="s">
        <v>3906</v>
      </c>
      <c r="C1941" s="3" t="s">
        <v>4568</v>
      </c>
      <c r="D1941" s="3" t="s">
        <v>4568</v>
      </c>
      <c r="E1941" s="2">
        <v>2021</v>
      </c>
      <c r="F1941" s="3" t="s">
        <v>3910</v>
      </c>
      <c r="G1941" s="2" t="s">
        <v>12</v>
      </c>
      <c r="H1941" s="3" t="s">
        <v>3721</v>
      </c>
      <c r="I1941" s="12" t="s">
        <v>4569</v>
      </c>
    </row>
    <row r="1942" spans="1:9" ht="30" x14ac:dyDescent="0.25">
      <c r="A1942" s="2">
        <v>1939</v>
      </c>
      <c r="B1942" s="3" t="s">
        <v>3906</v>
      </c>
      <c r="C1942" s="3" t="s">
        <v>4570</v>
      </c>
      <c r="D1942" s="3" t="s">
        <v>4570</v>
      </c>
      <c r="E1942" s="2">
        <v>2021</v>
      </c>
      <c r="F1942" s="3" t="s">
        <v>3912</v>
      </c>
      <c r="G1942" s="2" t="s">
        <v>12</v>
      </c>
      <c r="H1942" s="3" t="s">
        <v>3721</v>
      </c>
      <c r="I1942" s="12" t="s">
        <v>4571</v>
      </c>
    </row>
    <row r="1943" spans="1:9" ht="30" x14ac:dyDescent="0.25">
      <c r="A1943" s="2">
        <v>1940</v>
      </c>
      <c r="B1943" s="3" t="s">
        <v>3913</v>
      </c>
      <c r="C1943" s="3" t="s">
        <v>4572</v>
      </c>
      <c r="D1943" s="3" t="s">
        <v>4572</v>
      </c>
      <c r="E1943" s="2">
        <v>2018</v>
      </c>
      <c r="F1943" s="3" t="s">
        <v>4573</v>
      </c>
      <c r="G1943" s="2" t="s">
        <v>12</v>
      </c>
      <c r="H1943" s="3" t="s">
        <v>4574</v>
      </c>
      <c r="I1943" s="12" t="s">
        <v>3204</v>
      </c>
    </row>
    <row r="1944" spans="1:9" ht="30" x14ac:dyDescent="0.25">
      <c r="A1944" s="2">
        <v>1941</v>
      </c>
      <c r="B1944" s="3" t="s">
        <v>3913</v>
      </c>
      <c r="C1944" s="3" t="s">
        <v>4575</v>
      </c>
      <c r="D1944" s="3" t="s">
        <v>4575</v>
      </c>
      <c r="E1944" s="2">
        <v>2020</v>
      </c>
      <c r="F1944" s="3" t="s">
        <v>3915</v>
      </c>
      <c r="G1944" s="2" t="s">
        <v>12</v>
      </c>
      <c r="H1944" s="3" t="s">
        <v>3916</v>
      </c>
      <c r="I1944" s="12" t="s">
        <v>3204</v>
      </c>
    </row>
    <row r="1945" spans="1:9" ht="30" x14ac:dyDescent="0.25">
      <c r="A1945" s="2">
        <v>1942</v>
      </c>
      <c r="B1945" s="3" t="s">
        <v>3913</v>
      </c>
      <c r="C1945" s="3" t="s">
        <v>4576</v>
      </c>
      <c r="D1945" s="3" t="s">
        <v>4576</v>
      </c>
      <c r="E1945" s="2">
        <v>2020</v>
      </c>
      <c r="F1945" s="3" t="s">
        <v>3915</v>
      </c>
      <c r="G1945" s="2" t="s">
        <v>12</v>
      </c>
      <c r="H1945" s="3" t="s">
        <v>3916</v>
      </c>
      <c r="I1945" s="12" t="s">
        <v>3204</v>
      </c>
    </row>
    <row r="1946" spans="1:9" ht="30" x14ac:dyDescent="0.25">
      <c r="A1946" s="2">
        <v>1943</v>
      </c>
      <c r="B1946" s="3" t="s">
        <v>3913</v>
      </c>
      <c r="C1946" s="3" t="s">
        <v>4577</v>
      </c>
      <c r="D1946" s="3" t="s">
        <v>4577</v>
      </c>
      <c r="E1946" s="2">
        <v>2020</v>
      </c>
      <c r="F1946" s="3" t="s">
        <v>3915</v>
      </c>
      <c r="G1946" s="2" t="s">
        <v>12</v>
      </c>
      <c r="H1946" s="3" t="s">
        <v>3916</v>
      </c>
      <c r="I1946" s="12" t="s">
        <v>3204</v>
      </c>
    </row>
    <row r="1947" spans="1:9" ht="30" x14ac:dyDescent="0.25">
      <c r="A1947" s="2">
        <v>1944</v>
      </c>
      <c r="B1947" s="3" t="s">
        <v>3913</v>
      </c>
      <c r="C1947" s="3" t="s">
        <v>4578</v>
      </c>
      <c r="D1947" s="3" t="s">
        <v>4578</v>
      </c>
      <c r="E1947" s="2">
        <v>2020</v>
      </c>
      <c r="F1947" s="3" t="s">
        <v>3918</v>
      </c>
      <c r="G1947" s="2" t="s">
        <v>12</v>
      </c>
      <c r="H1947" s="3" t="s">
        <v>3919</v>
      </c>
      <c r="I1947" s="12" t="s">
        <v>3204</v>
      </c>
    </row>
    <row r="1948" spans="1:9" ht="45" x14ac:dyDescent="0.25">
      <c r="A1948" s="2">
        <v>1945</v>
      </c>
      <c r="B1948" s="3" t="s">
        <v>3913</v>
      </c>
      <c r="C1948" s="3" t="s">
        <v>4579</v>
      </c>
      <c r="D1948" s="3" t="s">
        <v>4579</v>
      </c>
      <c r="E1948" s="2">
        <v>2022</v>
      </c>
      <c r="F1948" s="3" t="s">
        <v>3921</v>
      </c>
      <c r="G1948" s="2" t="s">
        <v>12</v>
      </c>
      <c r="H1948" s="3" t="s">
        <v>3922</v>
      </c>
      <c r="I1948" s="12" t="s">
        <v>3204</v>
      </c>
    </row>
    <row r="1949" spans="1:9" ht="30" x14ac:dyDescent="0.25">
      <c r="A1949" s="2">
        <v>1946</v>
      </c>
      <c r="B1949" s="3" t="s">
        <v>3923</v>
      </c>
      <c r="C1949" s="3" t="s">
        <v>4580</v>
      </c>
      <c r="D1949" s="3" t="s">
        <v>4580</v>
      </c>
      <c r="E1949" s="2">
        <v>2020</v>
      </c>
      <c r="F1949" s="3" t="s">
        <v>3925</v>
      </c>
      <c r="G1949" s="2" t="s">
        <v>12</v>
      </c>
      <c r="H1949" s="3" t="s">
        <v>3201</v>
      </c>
      <c r="I1949" s="15" t="s">
        <v>3204</v>
      </c>
    </row>
    <row r="1950" spans="1:9" ht="60" x14ac:dyDescent="0.25">
      <c r="A1950" s="2">
        <v>1947</v>
      </c>
      <c r="B1950" s="3" t="s">
        <v>3930</v>
      </c>
      <c r="C1950" s="3" t="s">
        <v>3931</v>
      </c>
      <c r="D1950" s="3" t="s">
        <v>3931</v>
      </c>
      <c r="E1950" s="2">
        <v>2018</v>
      </c>
      <c r="F1950" s="3" t="s">
        <v>3201</v>
      </c>
      <c r="G1950" s="2" t="s">
        <v>12</v>
      </c>
      <c r="H1950" s="3" t="s">
        <v>3932</v>
      </c>
      <c r="I1950" s="12" t="s">
        <v>4581</v>
      </c>
    </row>
    <row r="1951" spans="1:9" ht="60" x14ac:dyDescent="0.25">
      <c r="A1951" s="2">
        <v>1948</v>
      </c>
      <c r="B1951" s="3" t="s">
        <v>4582</v>
      </c>
      <c r="C1951" s="3" t="s">
        <v>4583</v>
      </c>
      <c r="D1951" s="3" t="s">
        <v>4583</v>
      </c>
      <c r="E1951" s="2">
        <v>2019</v>
      </c>
      <c r="F1951" s="3" t="s">
        <v>4584</v>
      </c>
      <c r="G1951" s="2" t="s">
        <v>12</v>
      </c>
      <c r="H1951" s="3" t="s">
        <v>4585</v>
      </c>
      <c r="I1951" s="12" t="s">
        <v>4586</v>
      </c>
    </row>
    <row r="1952" spans="1:9" ht="90" x14ac:dyDescent="0.25">
      <c r="A1952" s="2">
        <v>1949</v>
      </c>
      <c r="B1952" s="3" t="s">
        <v>4582</v>
      </c>
      <c r="C1952" s="3" t="s">
        <v>4587</v>
      </c>
      <c r="D1952" s="3" t="s">
        <v>4587</v>
      </c>
      <c r="E1952" s="2">
        <v>2019</v>
      </c>
      <c r="F1952" s="3" t="s">
        <v>4584</v>
      </c>
      <c r="G1952" s="2" t="s">
        <v>12</v>
      </c>
      <c r="H1952" s="3" t="s">
        <v>4588</v>
      </c>
      <c r="I1952" s="12" t="s">
        <v>4589</v>
      </c>
    </row>
    <row r="1953" spans="1:9" ht="30" x14ac:dyDescent="0.25">
      <c r="A1953" s="2">
        <v>1950</v>
      </c>
      <c r="B1953" s="3" t="s">
        <v>3930</v>
      </c>
      <c r="C1953" s="3" t="s">
        <v>4590</v>
      </c>
      <c r="D1953" s="3" t="s">
        <v>4590</v>
      </c>
      <c r="E1953" s="2">
        <v>2020</v>
      </c>
      <c r="F1953" s="3" t="s">
        <v>4584</v>
      </c>
      <c r="G1953" s="2" t="s">
        <v>12</v>
      </c>
      <c r="H1953" s="3" t="s">
        <v>4591</v>
      </c>
      <c r="I1953" s="12" t="s">
        <v>4586</v>
      </c>
    </row>
    <row r="1954" spans="1:9" ht="135" x14ac:dyDescent="0.25">
      <c r="A1954" s="2">
        <v>1951</v>
      </c>
      <c r="B1954" s="3" t="s">
        <v>3936</v>
      </c>
      <c r="C1954" s="3" t="s">
        <v>4592</v>
      </c>
      <c r="D1954" s="3" t="s">
        <v>4592</v>
      </c>
      <c r="E1954" s="2">
        <v>2022</v>
      </c>
      <c r="F1954" s="3" t="s">
        <v>3938</v>
      </c>
      <c r="G1954" s="2" t="s">
        <v>12</v>
      </c>
      <c r="H1954" s="3" t="s">
        <v>3939</v>
      </c>
      <c r="I1954" s="15" t="s">
        <v>3204</v>
      </c>
    </row>
    <row r="1955" spans="1:9" ht="75" x14ac:dyDescent="0.25">
      <c r="A1955" s="2">
        <v>1952</v>
      </c>
      <c r="B1955" s="3" t="s">
        <v>3940</v>
      </c>
      <c r="C1955" s="3" t="s">
        <v>4593</v>
      </c>
      <c r="D1955" s="3" t="s">
        <v>4593</v>
      </c>
      <c r="E1955" s="2">
        <v>2018</v>
      </c>
      <c r="F1955" s="3" t="s">
        <v>3942</v>
      </c>
      <c r="G1955" s="2" t="s">
        <v>12</v>
      </c>
      <c r="H1955" s="3" t="s">
        <v>3943</v>
      </c>
      <c r="I1955" s="15" t="s">
        <v>3204</v>
      </c>
    </row>
    <row r="1956" spans="1:9" ht="75" x14ac:dyDescent="0.25">
      <c r="A1956" s="2">
        <v>1953</v>
      </c>
      <c r="B1956" s="3" t="s">
        <v>3944</v>
      </c>
      <c r="C1956" s="3" t="s">
        <v>4593</v>
      </c>
      <c r="D1956" s="3" t="s">
        <v>4593</v>
      </c>
      <c r="E1956" s="2">
        <v>2018</v>
      </c>
      <c r="F1956" s="3" t="s">
        <v>3945</v>
      </c>
      <c r="G1956" s="2" t="s">
        <v>12</v>
      </c>
      <c r="H1956" s="3" t="s">
        <v>3943</v>
      </c>
      <c r="I1956" s="15" t="s">
        <v>3204</v>
      </c>
    </row>
    <row r="1957" spans="1:9" ht="75" x14ac:dyDescent="0.25">
      <c r="A1957" s="2">
        <v>1954</v>
      </c>
      <c r="B1957" s="3" t="s">
        <v>3944</v>
      </c>
      <c r="C1957" s="3" t="s">
        <v>3946</v>
      </c>
      <c r="D1957" s="3" t="s">
        <v>3946</v>
      </c>
      <c r="E1957" s="2">
        <v>2018</v>
      </c>
      <c r="F1957" s="3" t="s">
        <v>3947</v>
      </c>
      <c r="G1957" s="2" t="s">
        <v>12</v>
      </c>
      <c r="H1957" s="3" t="s">
        <v>3948</v>
      </c>
      <c r="I1957" s="15" t="s">
        <v>3204</v>
      </c>
    </row>
    <row r="1958" spans="1:9" ht="75" x14ac:dyDescent="0.25">
      <c r="A1958" s="2">
        <v>1955</v>
      </c>
      <c r="B1958" s="3" t="s">
        <v>3940</v>
      </c>
      <c r="C1958" s="3" t="s">
        <v>3946</v>
      </c>
      <c r="D1958" s="3" t="s">
        <v>3946</v>
      </c>
      <c r="E1958" s="2">
        <v>2018</v>
      </c>
      <c r="F1958" s="3" t="s">
        <v>3949</v>
      </c>
      <c r="G1958" s="2" t="s">
        <v>12</v>
      </c>
      <c r="H1958" s="3" t="s">
        <v>3948</v>
      </c>
      <c r="I1958" s="15" t="s">
        <v>3204</v>
      </c>
    </row>
    <row r="1959" spans="1:9" ht="75" x14ac:dyDescent="0.25">
      <c r="A1959" s="2">
        <v>1956</v>
      </c>
      <c r="B1959" s="3" t="s">
        <v>3944</v>
      </c>
      <c r="C1959" s="3" t="s">
        <v>3950</v>
      </c>
      <c r="D1959" s="3" t="s">
        <v>3950</v>
      </c>
      <c r="E1959" s="2">
        <v>2018</v>
      </c>
      <c r="F1959" s="3" t="s">
        <v>3947</v>
      </c>
      <c r="G1959" s="2" t="s">
        <v>12</v>
      </c>
      <c r="H1959" s="3" t="s">
        <v>3948</v>
      </c>
      <c r="I1959" s="12" t="s">
        <v>4594</v>
      </c>
    </row>
    <row r="1960" spans="1:9" ht="75" x14ac:dyDescent="0.25">
      <c r="A1960" s="2">
        <v>1957</v>
      </c>
      <c r="B1960" s="3" t="s">
        <v>3944</v>
      </c>
      <c r="C1960" s="3" t="s">
        <v>3951</v>
      </c>
      <c r="D1960" s="3" t="s">
        <v>3951</v>
      </c>
      <c r="E1960" s="2">
        <v>2018</v>
      </c>
      <c r="F1960" s="3" t="s">
        <v>3952</v>
      </c>
      <c r="G1960" s="2" t="s">
        <v>12</v>
      </c>
      <c r="H1960" s="3" t="s">
        <v>3948</v>
      </c>
      <c r="I1960" s="12" t="s">
        <v>4443</v>
      </c>
    </row>
    <row r="1961" spans="1:9" ht="60" x14ac:dyDescent="0.25">
      <c r="A1961" s="2">
        <v>1958</v>
      </c>
      <c r="B1961" s="3" t="s">
        <v>3944</v>
      </c>
      <c r="C1961" s="3" t="s">
        <v>3953</v>
      </c>
      <c r="D1961" s="3" t="s">
        <v>3953</v>
      </c>
      <c r="E1961" s="2">
        <v>2018</v>
      </c>
      <c r="F1961" s="3" t="s">
        <v>3949</v>
      </c>
      <c r="G1961" s="2" t="s">
        <v>12</v>
      </c>
      <c r="H1961" s="3" t="s">
        <v>3948</v>
      </c>
      <c r="I1961" s="12" t="s">
        <v>4442</v>
      </c>
    </row>
    <row r="1962" spans="1:9" ht="90" x14ac:dyDescent="0.25">
      <c r="A1962" s="2">
        <v>1959</v>
      </c>
      <c r="B1962" s="3" t="s">
        <v>3940</v>
      </c>
      <c r="C1962" s="3" t="s">
        <v>4595</v>
      </c>
      <c r="D1962" s="3" t="s">
        <v>4595</v>
      </c>
      <c r="E1962" s="2">
        <v>2020</v>
      </c>
      <c r="F1962" s="3" t="s">
        <v>3954</v>
      </c>
      <c r="G1962" s="2" t="s">
        <v>12</v>
      </c>
      <c r="H1962" s="3" t="s">
        <v>3955</v>
      </c>
      <c r="I1962" s="15" t="s">
        <v>3204</v>
      </c>
    </row>
    <row r="1963" spans="1:9" ht="60" x14ac:dyDescent="0.25">
      <c r="A1963" s="2">
        <v>1960</v>
      </c>
      <c r="B1963" s="3" t="s">
        <v>3940</v>
      </c>
      <c r="C1963" s="3" t="s">
        <v>3956</v>
      </c>
      <c r="D1963" s="3" t="s">
        <v>3956</v>
      </c>
      <c r="E1963" s="2">
        <v>2021</v>
      </c>
      <c r="F1963" s="3" t="s">
        <v>3957</v>
      </c>
      <c r="G1963" s="2" t="s">
        <v>12</v>
      </c>
      <c r="H1963" s="3" t="s">
        <v>3943</v>
      </c>
      <c r="I1963" s="15" t="s">
        <v>3204</v>
      </c>
    </row>
    <row r="1964" spans="1:9" ht="60" x14ac:dyDescent="0.25">
      <c r="A1964" s="2">
        <v>1961</v>
      </c>
      <c r="B1964" s="3" t="s">
        <v>3940</v>
      </c>
      <c r="C1964" s="3" t="s">
        <v>4596</v>
      </c>
      <c r="D1964" s="3" t="s">
        <v>4596</v>
      </c>
      <c r="E1964" s="2">
        <v>2021</v>
      </c>
      <c r="F1964" s="3" t="s">
        <v>3959</v>
      </c>
      <c r="G1964" s="2" t="s">
        <v>12</v>
      </c>
      <c r="H1964" s="3" t="s">
        <v>3955</v>
      </c>
      <c r="I1964" s="12" t="s">
        <v>4597</v>
      </c>
    </row>
    <row r="1965" spans="1:9" ht="30" x14ac:dyDescent="0.25">
      <c r="A1965" s="2">
        <v>1962</v>
      </c>
      <c r="B1965" s="3" t="s">
        <v>3940</v>
      </c>
      <c r="C1965" s="3" t="s">
        <v>4598</v>
      </c>
      <c r="D1965" s="3" t="s">
        <v>4598</v>
      </c>
      <c r="E1965" s="2">
        <v>2023</v>
      </c>
      <c r="F1965" s="3" t="s">
        <v>3961</v>
      </c>
      <c r="G1965" s="2" t="s">
        <v>12</v>
      </c>
      <c r="H1965" s="3" t="s">
        <v>3962</v>
      </c>
      <c r="I1965" s="15" t="s">
        <v>3204</v>
      </c>
    </row>
    <row r="1966" spans="1:9" ht="45" x14ac:dyDescent="0.25">
      <c r="A1966" s="2">
        <v>1963</v>
      </c>
      <c r="B1966" s="3" t="s">
        <v>3963</v>
      </c>
      <c r="C1966" s="3" t="s">
        <v>3967</v>
      </c>
      <c r="D1966" s="3" t="s">
        <v>3967</v>
      </c>
      <c r="E1966" s="2">
        <v>2018</v>
      </c>
      <c r="F1966" s="3">
        <v>7989384803698</v>
      </c>
      <c r="G1966" s="2" t="s">
        <v>12</v>
      </c>
      <c r="H1966" s="3" t="s">
        <v>3968</v>
      </c>
      <c r="I1966" s="12" t="s">
        <v>4599</v>
      </c>
    </row>
    <row r="1967" spans="1:9" ht="75" x14ac:dyDescent="0.25">
      <c r="A1967" s="2">
        <v>1964</v>
      </c>
      <c r="B1967" s="3" t="s">
        <v>3969</v>
      </c>
      <c r="C1967" s="3" t="s">
        <v>3970</v>
      </c>
      <c r="D1967" s="3" t="s">
        <v>3970</v>
      </c>
      <c r="E1967" s="2">
        <v>2022</v>
      </c>
      <c r="F1967" s="3">
        <v>9785353496362</v>
      </c>
      <c r="G1967" s="2" t="s">
        <v>12</v>
      </c>
      <c r="H1967" s="3" t="s">
        <v>3971</v>
      </c>
      <c r="I1967" s="12" t="s">
        <v>4600</v>
      </c>
    </row>
    <row r="1968" spans="1:9" ht="90" x14ac:dyDescent="0.25">
      <c r="A1968" s="2">
        <v>1965</v>
      </c>
      <c r="B1968" s="3" t="s">
        <v>4601</v>
      </c>
      <c r="C1968" s="3" t="s">
        <v>4602</v>
      </c>
      <c r="D1968" s="3" t="s">
        <v>4602</v>
      </c>
      <c r="E1968" s="2">
        <v>2023</v>
      </c>
      <c r="F1968" s="3" t="s">
        <v>4603</v>
      </c>
      <c r="G1968" s="2" t="s">
        <v>12</v>
      </c>
      <c r="H1968" s="3" t="s">
        <v>4604</v>
      </c>
      <c r="I1968" s="15" t="s">
        <v>3204</v>
      </c>
    </row>
    <row r="1969" spans="1:9" ht="45" x14ac:dyDescent="0.25">
      <c r="A1969" s="2">
        <v>1966</v>
      </c>
      <c r="B1969" s="3" t="s">
        <v>4605</v>
      </c>
      <c r="C1969" s="3" t="s">
        <v>4606</v>
      </c>
      <c r="D1969" s="3"/>
      <c r="E1969" s="2">
        <v>2018</v>
      </c>
      <c r="F1969" s="3" t="s">
        <v>3348</v>
      </c>
      <c r="G1969" s="2" t="s">
        <v>12</v>
      </c>
      <c r="H1969" s="3" t="s">
        <v>3348</v>
      </c>
      <c r="I1969" s="19" t="s">
        <v>3204</v>
      </c>
    </row>
    <row r="1970" spans="1:9" ht="60" x14ac:dyDescent="0.25">
      <c r="A1970" s="2">
        <v>1967</v>
      </c>
      <c r="B1970" s="3" t="s">
        <v>4605</v>
      </c>
      <c r="C1970" s="3" t="s">
        <v>4607</v>
      </c>
      <c r="D1970" s="3"/>
      <c r="E1970" s="2">
        <v>2019</v>
      </c>
      <c r="F1970" s="3" t="s">
        <v>3348</v>
      </c>
      <c r="G1970" s="2" t="s">
        <v>12</v>
      </c>
      <c r="H1970" s="3" t="s">
        <v>3348</v>
      </c>
      <c r="I1970" s="12" t="s">
        <v>4608</v>
      </c>
    </row>
  </sheetData>
  <hyperlinks>
    <hyperlink ref="I1091" r:id="rId1" display="https://online.bamu.ac.in/naac_ssr/file_upload/23_55967_3695.pdf"/>
    <hyperlink ref="I1093" r:id="rId2" display="https://online.bamu.ac.in/naac_ssr/file_upload/24_56571_2713.pdf"/>
    <hyperlink ref="I1095" r:id="rId3" display="https://online.bamu.ac.in/naac_ssr/file_upload/24_56577_5811.pdf"/>
    <hyperlink ref="I1096" r:id="rId4" display="https://online.bamu.ac.in/naac_ssr/file_upload/24_56579_5355.pdf"/>
    <hyperlink ref="I1097" r:id="rId5" display="https://online.bamu.ac.in/naac_ssr/file_upload/24_56583_9923.pdf"/>
    <hyperlink ref="I1098" r:id="rId6" display="https://online.bamu.ac.in/naac_ssr/file_upload/24_56586_8676.pdf"/>
    <hyperlink ref="I1100" r:id="rId7" display="https://online.bamu.ac.in/naac_ssr/file_upload/24_56589_2846.pdf"/>
    <hyperlink ref="I1101" r:id="rId8" display="https://online.bamu.ac.in/naac_ssr/file_upload/24_56602_1799.pdf"/>
    <hyperlink ref="I1102" r:id="rId9" display="https://online.bamu.ac.in/naac_ssr/file_upload/24_56606_9229.pdf"/>
    <hyperlink ref="I1104" r:id="rId10" display="https://online.bamu.ac.in/naac_ssr/file_upload/24_47916_5689.pdf"/>
    <hyperlink ref="I1107" r:id="rId11" display="https://online.bamu.ac.in/naac_ssr/file_upload/24_47961_4369.pdf"/>
    <hyperlink ref="I1109" r:id="rId12" display="https://online.bamu.ac.in/naac_ssr/file_upload/24_47967_3113.pdf"/>
    <hyperlink ref="I1110" r:id="rId13" display="https://online.bamu.ac.in/naac_ssr/file_upload/24_47969_9994.pdf"/>
    <hyperlink ref="I1111" r:id="rId14" display="https://online.bamu.ac.in/naac_ssr/file_upload/24_47971_3328.pdf"/>
    <hyperlink ref="I1112" r:id="rId15" display="https://online.bamu.ac.in/naac_ssr/file_upload/24_48021_3583.pdf"/>
    <hyperlink ref="I1116" r:id="rId16" display="https://online.bamu.ac.in/naac_ssr/file_upload/24_48035_2477.pdf"/>
    <hyperlink ref="I1124" r:id="rId17" display="https://online.bamu.ac.in/naac_ssr/file_upload/26_36279_6439.pdf"/>
    <hyperlink ref="I1125" r:id="rId18" display="https://online.bamu.ac.in/naac_ssr/file_upload/26_36280_6363.pdf"/>
    <hyperlink ref="I1126" r:id="rId19" display="https://online.bamu.ac.in/naac_ssr/file_upload/26_53345_2412.pdf"/>
    <hyperlink ref="I1127" r:id="rId20" display="https://online.bamu.ac.in/naac_ssr/file_upload/26_53372_1328.pdf"/>
    <hyperlink ref="I1128" r:id="rId21" display="https://online.bamu.ac.in/naac_ssr/file_upload/26_53376_4688.pdf"/>
    <hyperlink ref="I1148" r:id="rId22" display="https://online.bamu.ac.in/naac_ssr/file_upload/27_44599_7865.pdf"/>
    <hyperlink ref="I1149" r:id="rId23" display="https://online.bamu.ac.in/naac_ssr/file_upload/27_44600_2114.pdf"/>
    <hyperlink ref="I1161" r:id="rId24" display="https://online.bamu.ac.in/naac_ssr/file_upload/28_32878_8989.pdf"/>
    <hyperlink ref="I1166" r:id="rId25" display="https://online.bamu.ac.in/naac_ssr/file_upload/28_33124_1879.pdf"/>
    <hyperlink ref="I1167" r:id="rId26" display="https://online.bamu.ac.in/naac_ssr/file_upload/28_33127_8331.pdf"/>
    <hyperlink ref="I1168" r:id="rId27" display="https://online.bamu.ac.in/naac_ssr/file_upload/28_33130_6691.pdf"/>
    <hyperlink ref="I1179" r:id="rId28" display="https://online.bamu.ac.in/naac_ssr/file_upload/28_36549_7448.pdf"/>
    <hyperlink ref="I1182" r:id="rId29" display="https://online.bamu.ac.in/naac_ssr/file_upload/28_36715_9658.pdf"/>
    <hyperlink ref="I1183" r:id="rId30" display="https://online.bamu.ac.in/naac_ssr/file_upload/28_36718_9347.pdf"/>
    <hyperlink ref="I1184" r:id="rId31" display="https://online.bamu.ac.in/naac_ssr/file_upload/28_36719_8954.pdf"/>
    <hyperlink ref="I1185" r:id="rId32" display="https://online.bamu.ac.in/naac_ssr/file_upload/28_36720_5382.pdf"/>
    <hyperlink ref="I1186" r:id="rId33" display="https://online.bamu.ac.in/naac_ssr/file_upload/28_36721_6627.pdf"/>
    <hyperlink ref="I1193" r:id="rId34" display="https://online.bamu.ac.in/naac_ssr/file_upload/28_39818_2257.pdf"/>
    <hyperlink ref="I1194" r:id="rId35" display="https://online.bamu.ac.in/naac_ssr/file_upload/28_42692_4196.pdf"/>
    <hyperlink ref="I1204" r:id="rId36" display="https://online.bamu.ac.in/naac_ssr/file_upload/30_33406_8354.pdf"/>
    <hyperlink ref="I1205" r:id="rId37" display="https://online.bamu.ac.in/naac_ssr/file_upload/30_37002_1815.pdf"/>
    <hyperlink ref="I1206" r:id="rId38" display="https://online.bamu.ac.in/naac_ssr/file_upload/30_37003_5858.pdf"/>
    <hyperlink ref="I1207" r:id="rId39" display="https://online.bamu.ac.in/naac_ssr/file_upload/30_41081_9331.pdf"/>
    <hyperlink ref="I1209" r:id="rId40" display="https://online.bamu.ac.in/naac_ssr/file_upload/30_47816_9133.pdf"/>
    <hyperlink ref="I1215" r:id="rId41" display="https://online.bamu.ac.in/naac_ssr/file_upload/31_46564_5647.pdf"/>
    <hyperlink ref="I1245" r:id="rId42" display="https://online.bamu.ac.in/naac_ssr/file_upload/33_49693_7722.pdf"/>
    <hyperlink ref="I1246" r:id="rId43" display="https://online.bamu.ac.in/naac_ssr/file_upload/33_49700_9933.pdf"/>
    <hyperlink ref="I1247" r:id="rId44" display="https://online.bamu.ac.in/naac_ssr/file_upload/33_49745_3262.pdf"/>
    <hyperlink ref="I1248" r:id="rId45" display="https://online.bamu.ac.in/naac_ssr/file_upload/33_49746_2988.pdf"/>
    <hyperlink ref="I1249" r:id="rId46" display="https://online.bamu.ac.in/naac_ssr/file_upload/33_49750_1867.pdf"/>
    <hyperlink ref="I1251" r:id="rId47" display="https://online.bamu.ac.in/naac_ssr/file_upload/34_31446_4271.pdf"/>
    <hyperlink ref="I1252" r:id="rId48" display="https://online.bamu.ac.in/naac_ssr/file_upload/34_31484_1752.pdf"/>
    <hyperlink ref="I1253" r:id="rId49" display="https://online.bamu.ac.in/naac_ssr/file_upload/34_31558_2877.pdf"/>
    <hyperlink ref="I1254" r:id="rId50" display="https://online.bamu.ac.in/naac_ssr/file_upload/34_38621_6678.pdf"/>
    <hyperlink ref="I1255" r:id="rId51" display="https://online.bamu.ac.in/naac_ssr/file_upload/34_38622_8862.pdf"/>
    <hyperlink ref="I1257" r:id="rId52" display="https://online.bamu.ac.in/naac_ssr/file_upload/35_32743_5147.pdf"/>
    <hyperlink ref="I1258" r:id="rId53" display="https://online.bamu.ac.in/naac_ssr/file_upload/35_32745_5818.pdf"/>
    <hyperlink ref="I1259" r:id="rId54" display="https://online.bamu.ac.in/naac_ssr/file_upload/35_39394_7569.pdf"/>
    <hyperlink ref="I1260" r:id="rId55" display="https://online.bamu.ac.in/naac_ssr/file_upload/35_47984_1635.pdf"/>
    <hyperlink ref="I1261" r:id="rId56" display="https://online.bamu.ac.in/naac_ssr/file_upload/35_47990_4723.pdf"/>
    <hyperlink ref="I1262" r:id="rId57" display="https://online.bamu.ac.in/naac_ssr/file_upload/35_47997_2969.pdf"/>
    <hyperlink ref="I1263" r:id="rId58" display="https://online.bamu.ac.in/naac_ssr/file_upload/35_48000_5393.pdf"/>
    <hyperlink ref="I1267" r:id="rId59" display="https://online.bamu.ac.in/naac_ssr/file_upload/39_56954_8759.pdf"/>
    <hyperlink ref="I1268" r:id="rId60" display="https://online.bamu.ac.in/naac_ssr/file_upload/39_52147_6333.pdf"/>
    <hyperlink ref="I1291" r:id="rId61" display="https://online.bamu.ac.in/naac_ssr/file_upload/39_56951_3397.pdf"/>
    <hyperlink ref="I1292" r:id="rId62" display="https://online.bamu.ac.in/naac_ssr/file_upload/39_56952_6653.pdf"/>
    <hyperlink ref="I1293" r:id="rId63" display="https://online.bamu.ac.in/naac_ssr/file_upload/39_56960_2331.pdf"/>
    <hyperlink ref="I1311" r:id="rId64" display="https://online.bamu.ac.in/naac_ssr/file_upload/39_51691_9661.pdf"/>
    <hyperlink ref="I1324" r:id="rId65" display="https://online.bamu.ac.in/naac_ssr/file_upload/39_56981_8656.pdf"/>
    <hyperlink ref="I1326" r:id="rId66" display="https://online.bamu.ac.in/naac_ssr/file_upload/39_56986_2995.pdf"/>
    <hyperlink ref="I1327" r:id="rId67" display="https://online.bamu.ac.in/naac_ssr/file_upload/39_56993_9632.pdf"/>
    <hyperlink ref="I1328" r:id="rId68" display="https://online.bamu.ac.in/naac_ssr/file_upload/39_56997_1665.pdf"/>
    <hyperlink ref="I1329" r:id="rId69" display="https://online.bamu.ac.in/naac_ssr/file_upload/39_57001_9567.pdf"/>
    <hyperlink ref="I1335" r:id="rId70" display="https://online.bamu.ac.in/naac_ssr/file_upload/39_56970_9412.pdf"/>
    <hyperlink ref="I1336" r:id="rId71" display="https://online.bamu.ac.in/naac_ssr/file_upload/39_57008_4486.pdf"/>
    <hyperlink ref="I1337" r:id="rId72" display="https://online.bamu.ac.in/naac_ssr/file_upload/39_57013_5892.pdf"/>
    <hyperlink ref="I1338" r:id="rId73" display="https://online.bamu.ac.in/naac_ssr/file_upload/40_55402_7433.pdf"/>
    <hyperlink ref="I1339" r:id="rId74" display="https://online.bamu.ac.in/naac_ssr/file_upload/40_55406_1471.pdf"/>
    <hyperlink ref="I1340" r:id="rId75" display="https://online.bamu.ac.in/naac_ssr/file_upload/40_54252_9483.pdf"/>
    <hyperlink ref="I1341" r:id="rId76" display="https://online.bamu.ac.in/naac_ssr/file_upload/40_50573_9353.pdf"/>
    <hyperlink ref="I1343" r:id="rId77" display="https://online.bamu.ac.in/naac_ssr/file_upload/40_52751_8385.pdf"/>
    <hyperlink ref="I1345" r:id="rId78" display="https://online.bamu.ac.in/naac_ssr/file_upload/43_54407_9816.pdf"/>
    <hyperlink ref="I1346" r:id="rId79" display="https://online.bamu.ac.in/naac_ssr/file_upload/43_54432_3475.pdf"/>
    <hyperlink ref="I1347" r:id="rId80" display="https://online.bamu.ac.in/naac_ssr/file_upload/43_54435_3296.pdf"/>
    <hyperlink ref="I1348" r:id="rId81" display="https://online.bamu.ac.in/naac_ssr/file_upload/43_54436_6484.pdf"/>
    <hyperlink ref="I1349" r:id="rId82" display="https://online.bamu.ac.in/naac_ssr/file_upload/43_54437_5753.pdf"/>
    <hyperlink ref="I1350" r:id="rId83" display="https://online.bamu.ac.in/naac_ssr/file_upload/43_54440_9357.pdf"/>
    <hyperlink ref="I1351" r:id="rId84" display="https://online.bamu.ac.in/naac_ssr/file_upload/43_54047_2691.pdf"/>
    <hyperlink ref="I1352" r:id="rId85" display="https://online.bamu.ac.in/naac_ssr/file_upload/43_54048_2763.pdf"/>
    <hyperlink ref="I1353" r:id="rId86" display="https://online.bamu.ac.in/naac_ssr/file_upload/43_54049_7789.pdf"/>
    <hyperlink ref="I1354" r:id="rId87" display="https://online.bamu.ac.in/naac_ssr/file_upload/43_54050_7581.pdf"/>
    <hyperlink ref="I1355" r:id="rId88" display="https://online.bamu.ac.in/naac_ssr/file_upload/43_54051_4836.pdf"/>
    <hyperlink ref="I1356" r:id="rId89" display="https://online.bamu.ac.in/naac_ssr/file_upload/43_54227_9325.pdf"/>
    <hyperlink ref="I1357" r:id="rId90" display="https://online.bamu.ac.in/naac_ssr/file_upload/43_54230_8138.pdf"/>
    <hyperlink ref="I1358" r:id="rId91" display="https://online.bamu.ac.in/naac_ssr/file_upload/43_54268_2932.pdf"/>
    <hyperlink ref="I1359" r:id="rId92" display="https://online.bamu.ac.in/naac_ssr/file_upload/43_54273_8864.pdf"/>
    <hyperlink ref="I1360" r:id="rId93" display="https://online.bamu.ac.in/naac_ssr/file_upload/43_54334_6311.pdf"/>
    <hyperlink ref="I1361" r:id="rId94" display="https://online.bamu.ac.in/naac_ssr/file_upload/43_54342_9514.pdf"/>
    <hyperlink ref="I1362" r:id="rId95" display="https://online.bamu.ac.in/naac_ssr/file_upload/43_54351_8182.pdf"/>
    <hyperlink ref="I1363" r:id="rId96" display="https://online.bamu.ac.in/naac_ssr/file_upload/43_54453_1768.pdf"/>
    <hyperlink ref="I1364" r:id="rId97" display="https://online.bamu.ac.in/naac_ssr/file_upload/43_54478_4414.pdf"/>
    <hyperlink ref="I1365" r:id="rId98" display="https://online.bamu.ac.in/naac_ssr/file_upload/43_54479_1748.pdf"/>
    <hyperlink ref="I1366" r:id="rId99" display="https://online.bamu.ac.in/naac_ssr/file_upload/43_54059_5161.pdf"/>
    <hyperlink ref="I1367" r:id="rId100" display="https://online.bamu.ac.in/naac_ssr/file_upload/43_54060_1872.pdf"/>
    <hyperlink ref="I1368" r:id="rId101" display="https://online.bamu.ac.in/naac_ssr/file_upload/43_54061_9313.pdf"/>
    <hyperlink ref="I1369" r:id="rId102" display="https://online.bamu.ac.in/naac_ssr/file_upload/43_54062_6742.pdf"/>
    <hyperlink ref="I1371" r:id="rId103" display="https://online.bamu.ac.in/naac_ssr/file_upload/43_54174_8476.pdf"/>
    <hyperlink ref="I1372" r:id="rId104" display="https://online.bamu.ac.in/naac_ssr/file_upload/43_54190_4324.pdf"/>
    <hyperlink ref="I1373" r:id="rId105" display="https://online.bamu.ac.in/naac_ssr/file_upload/43_54209_3777.pdf"/>
    <hyperlink ref="I1374" r:id="rId106" display="https://online.bamu.ac.in/naac_ssr/file_upload/43_54431_1725.pdf"/>
    <hyperlink ref="I1375" r:id="rId107" display="https://online.bamu.ac.in/naac_ssr/file_upload/43_54446_4575.pdf"/>
    <hyperlink ref="I1376" r:id="rId108" display="https://online.bamu.ac.in/naac_ssr/file_upload/43_53919_9589.pdf"/>
    <hyperlink ref="I1377" r:id="rId109" display="https://online.bamu.ac.in/naac_ssr/file_upload/43_54068_4238.pdf"/>
    <hyperlink ref="I1378" r:id="rId110" display="https://online.bamu.ac.in/naac_ssr/file_upload/43_54069_6532.pdf"/>
    <hyperlink ref="I1379" r:id="rId111" display="https://online.bamu.ac.in/naac_ssr/file_upload/43_54071_4756.pdf"/>
    <hyperlink ref="I1380" r:id="rId112" display="https://online.bamu.ac.in/naac_ssr/file_upload/43_54072_3168.pdf"/>
    <hyperlink ref="I1381" r:id="rId113" display="https://online.bamu.ac.in/naac_ssr/file_upload/43_54074_2152.pdf"/>
    <hyperlink ref="I1382" r:id="rId114" display="https://online.bamu.ac.in/naac_ssr/file_upload/43_54080_6797.pdf"/>
    <hyperlink ref="I1383" r:id="rId115" display="https://online.bamu.ac.in/naac_ssr/file_upload/43_54162_4775.pdf"/>
    <hyperlink ref="I1384" r:id="rId116" display="https://online.bamu.ac.in/naac_ssr/file_upload/43_54163_7645.pdf"/>
    <hyperlink ref="I1385" r:id="rId117" display="https://online.bamu.ac.in/naac_ssr/file_upload/43_54164_4528.pdf"/>
    <hyperlink ref="I1386" r:id="rId118" display="https://online.bamu.ac.in/naac_ssr/file_upload/43_54165_4846.pdf"/>
    <hyperlink ref="I1387" r:id="rId119" display="https://online.bamu.ac.in/naac_ssr/file_upload/43_54166_5422.pdf"/>
    <hyperlink ref="I1388" r:id="rId120" display="https://online.bamu.ac.in/naac_ssr/file_upload/43_54172_4172.pdf"/>
    <hyperlink ref="I1389" r:id="rId121" display="https://online.bamu.ac.in/naac_ssr/file_upload/43_54359_1487.pdf"/>
    <hyperlink ref="I1390" r:id="rId122" display="https://online.bamu.ac.in/naac_ssr/file_upload/43_54372_6533.pdf"/>
    <hyperlink ref="I1391" r:id="rId123" display="https://online.bamu.ac.in/naac_ssr/file_upload/43_54378_4119.pdf"/>
    <hyperlink ref="I1392" r:id="rId124" display="https://online.bamu.ac.in/naac_ssr/file_upload/43_54383_7727.pdf"/>
    <hyperlink ref="I1393" r:id="rId125" display="https://online.bamu.ac.in/naac_ssr/file_upload/43_54391_1662.pdf"/>
    <hyperlink ref="I1394" r:id="rId126" display="https://online.bamu.ac.in/naac_ssr/file_upload/43_54395_6951.pdf"/>
    <hyperlink ref="I1395" r:id="rId127" display="https://online.bamu.ac.in/naac_ssr/file_upload/43_54413_5144.pdf"/>
    <hyperlink ref="I1396" r:id="rId128" display="https://online.bamu.ac.in/naac_ssr/file_upload/43_54460_2917.pdf"/>
    <hyperlink ref="I1397" r:id="rId129" display="https://online.bamu.ac.in/naac_ssr/file_upload/43_54502_8412.pdf"/>
    <hyperlink ref="I1398" r:id="rId130" display="https://online.bamu.ac.in/naac_ssr/file_upload/43_54522_8592.pdf"/>
    <hyperlink ref="I1399" r:id="rId131" display="https://online.bamu.ac.in/naac_ssr/file_upload/45_25933_1388.pdf"/>
    <hyperlink ref="I1400" r:id="rId132" display="https://online.bamu.ac.in/naac_ssr/file_upload/45_25934_5398.pdf"/>
    <hyperlink ref="I1402" r:id="rId133" display="https://online.bamu.ac.in/naac_ssr/file_upload/45_40858_3691.pdf"/>
    <hyperlink ref="I1403" r:id="rId134" display="https://online.bamu.ac.in/naac_ssr/file_upload/46_26752_9994.pdf"/>
    <hyperlink ref="I1404" r:id="rId135" display="https://online.bamu.ac.in/naac_ssr/file_upload/46_54775_8646.pdf"/>
    <hyperlink ref="I1405" r:id="rId136" display="https://online.bamu.ac.in/naac_ssr/file_upload/46_54778_7715.pdf"/>
    <hyperlink ref="I1406" r:id="rId137" display="https://online.bamu.ac.in/naac_ssr/file_upload/46_47501_5434.pdf"/>
    <hyperlink ref="I1407" r:id="rId138" display="https://online.bamu.ac.in/naac_ssr/file_upload/46_47502_5673.pdf"/>
    <hyperlink ref="I1408" r:id="rId139" display="https://online.bamu.ac.in/naac_ssr/file_upload/47_31698_3778.pdf"/>
    <hyperlink ref="I1409" r:id="rId140" display="https://online.bamu.ac.in/naac_ssr/file_upload/47_35157_8119.pdf"/>
    <hyperlink ref="I1410" r:id="rId141" display="https://online.bamu.ac.in/naac_ssr/file_upload/47_36008_1395.pdf"/>
    <hyperlink ref="I1411" r:id="rId142" display="https://online.bamu.ac.in/naac_ssr/file_upload/47_36017_5517.pdf"/>
    <hyperlink ref="I1412" r:id="rId143" display="https://online.bamu.ac.in/naac_ssr/file_upload/47_36020_6665.pdf"/>
    <hyperlink ref="I1413" r:id="rId144" display="https://online.bamu.ac.in/naac_ssr/file_upload/47_43844_5242.pdf"/>
    <hyperlink ref="I1414" r:id="rId145" display="https://online.bamu.ac.in/naac_ssr/file_upload/47_43846_7938.pdf"/>
    <hyperlink ref="I1415" r:id="rId146" display="https://online.bamu.ac.in/naac_ssr/file_upload/47_43847_6596.pdf"/>
    <hyperlink ref="I1416" r:id="rId147" display="https://online.bamu.ac.in/naac_ssr/file_upload/47_43849_5271.pdf"/>
    <hyperlink ref="I1417" r:id="rId148" display="https://online.bamu.ac.in/naac_ssr/file_upload/47_51535_3773.pdf"/>
    <hyperlink ref="I1418" r:id="rId149" display="https://online.bamu.ac.in/naac_ssr/file_upload/47_51536_4277.pdf"/>
    <hyperlink ref="I1419" r:id="rId150" display="https://online.bamu.ac.in/naac_ssr/file_upload/47_51537_4981.pdf"/>
    <hyperlink ref="I1420" r:id="rId151" display="https://online.bamu.ac.in/naac_ssr/file_upload/47_51539_9775.pdf"/>
    <hyperlink ref="I1421" r:id="rId152" display="https://online.bamu.ac.in/naac_ssr/file_upload/47_51540_8698.pdf"/>
    <hyperlink ref="I1423" r:id="rId153" display="https://online.bamu.ac.in/naac_ssr/file_upload/48_38321_7276.pdf"/>
    <hyperlink ref="I1426" r:id="rId154" display="https://online.bamu.ac.in/naac_ssr/file_upload/49_44409_6723.pdf"/>
    <hyperlink ref="I1427" r:id="rId155" display="https://online.bamu.ac.in/naac_ssr/file_upload/53_25072_3726.pdf"/>
    <hyperlink ref="I1436" r:id="rId156" display="https://online.bamu.ac.in/naac_ssr/file_upload/55_25635_5217.pdf"/>
    <hyperlink ref="I1437" r:id="rId157" display="https://online.bamu.ac.in/naac_ssr/file_upload/55_25751_1563.pdf"/>
    <hyperlink ref="I1440" r:id="rId158" display="https://online.bamu.ac.in/naac_ssr/file_upload/58_43057_2471.pdf"/>
    <hyperlink ref="I1441" r:id="rId159" display="https://online.bamu.ac.in/naac_ssr/file_upload/58_58315_7279.pdf"/>
    <hyperlink ref="I1443" r:id="rId160" display="https://online.bamu.ac.in/naac_ssr/file_upload/60_54704_6175.pdf"/>
    <hyperlink ref="I1444" r:id="rId161" display="https://online.bamu.ac.in/naac_ssr/file_upload/60_57372_4241.pdf"/>
    <hyperlink ref="I1445" r:id="rId162" display="https://online.bamu.ac.in/naac_ssr/file_upload/61_35227_9876.pdf"/>
    <hyperlink ref="I1447" r:id="rId163" display="https://online.bamu.ac.in/naac_ssr/file_upload/62_33168_9191.pdf"/>
    <hyperlink ref="I1456" r:id="rId164" display="https://online.bamu.ac.in/naac_ssr/file_upload/65_56055_3333.pdf"/>
    <hyperlink ref="I1457" r:id="rId165" display="https://online.bamu.ac.in/naac_ssr/file_upload/65_51884_9628.pdf"/>
    <hyperlink ref="I1459" r:id="rId166" display="https://online.bamu.ac.in/naac_ssr/file_upload/68_47260_3939.pdf"/>
    <hyperlink ref="I1461" r:id="rId167" display="https://online.bamu.ac.in/naac_ssr/file_upload/73_44056_3742.pdf"/>
    <hyperlink ref="I1462" r:id="rId168" display="https://online.bamu.ac.in/naac_ssr/file_upload/101_24777_8717.pdf"/>
    <hyperlink ref="I1463" r:id="rId169" display="https://online.bamu.ac.in/naac_ssr/file_upload/101_24801_3512.pdf"/>
    <hyperlink ref="I1464" r:id="rId170" display="https://online.bamu.ac.in/naac_ssr/file_upload/101_24832_6196.pdf"/>
    <hyperlink ref="I1465" r:id="rId171" display="https://online.bamu.ac.in/naac_ssr/file_upload/101_24833_4619.pdf"/>
    <hyperlink ref="I1469" r:id="rId172" display="https://online.bamu.ac.in/naac_ssr/file_upload/101_30882_7284.pdf"/>
    <hyperlink ref="I1470" r:id="rId173" display="https://online.bamu.ac.in/naac_ssr/file_upload/101_35859_4218.pdf"/>
    <hyperlink ref="I1472" r:id="rId174" display="https://online.bamu.ac.in/naac_ssr/file_upload/101_46552_6366.pdf"/>
    <hyperlink ref="I1548" r:id="rId175" display="https://online.bamu.ac.in/naac_ssr/file_upload/26_36279_6439.pdf"/>
    <hyperlink ref="I1549" r:id="rId176" display="https://online.bamu.ac.in/naac_ssr/file_upload/26_36280_6363.pdf"/>
    <hyperlink ref="I1550" r:id="rId177" display="https://online.bamu.ac.in/naac_ssr/file_upload/26_53345_2412.pdf"/>
    <hyperlink ref="I1551" r:id="rId178" display="https://online.bamu.ac.in/naac_ssr/file_upload/26_53372_1328.pdf"/>
    <hyperlink ref="I1552" r:id="rId179" display="https://online.bamu.ac.in/naac_ssr/file_upload/26_53376_4688.pdf"/>
    <hyperlink ref="I1582" r:id="rId180" display="https://online.bamu.ac.in/naac_ssr/file_upload/28_27552_7889.pdf"/>
    <hyperlink ref="I1583" r:id="rId181" display="https://online.bamu.ac.in/naac_ssr/file_upload/28_27553_2588.pdf"/>
    <hyperlink ref="I1584" r:id="rId182" display="https://online.bamu.ac.in/naac_ssr/file_upload/28_27554_7663.pdf"/>
    <hyperlink ref="I1590" r:id="rId183" display="https://online.bamu.ac.in/naac_ssr/file_upload/28_27740_4749.pdf"/>
    <hyperlink ref="I1610" r:id="rId184" display="https://online.bamu.ac.in/naac_ssr/file_upload/28_32878_8989.pdf"/>
    <hyperlink ref="I1615" r:id="rId185" display="https://online.bamu.ac.in/naac_ssr/file_upload/28_33124_1879.pdf"/>
    <hyperlink ref="I1616" r:id="rId186" display="https://online.bamu.ac.in/naac_ssr/file_upload/28_33127_8331.pdf"/>
    <hyperlink ref="I1617" r:id="rId187" display="https://online.bamu.ac.in/naac_ssr/file_upload/28_33130_6691.pdf"/>
    <hyperlink ref="I1629" r:id="rId188" display="https://online.bamu.ac.in/naac_ssr/file_upload/28_33209_8149.pdf"/>
    <hyperlink ref="I1635" r:id="rId189" display="https://online.bamu.ac.in/naac_ssr/file_upload/28_36549_7448.pdf"/>
    <hyperlink ref="I12" r:id="rId190"/>
    <hyperlink ref="I16" r:id="rId191"/>
    <hyperlink ref="I22" r:id="rId192"/>
    <hyperlink ref="I186" display="https://www.researchgate.net/publication/327801615_Nano-Fe3O4_as_a_heterogeneous_recyclable_magnetically_separable_catalyst_for_synthesis_of_nitrogen_fused_imidazoheterocycles_via_double_C-N_bond_formation?enrichId=rgreq-3cfe31cd4facbb08ec859aa65f5a8593-X"/>
    <hyperlink ref="I292" r:id="rId193"/>
    <hyperlink ref="I474" r:id="rId194"/>
    <hyperlink ref="I515" r:id="rId195"/>
    <hyperlink ref="I734" r:id="rId196"/>
    <hyperlink ref="I760" r:id="rId197"/>
    <hyperlink ref="I1256" r:id="rId198"/>
    <hyperlink ref="I1492" r:id="rId199"/>
    <hyperlink ref="I1580" r:id="rId200"/>
    <hyperlink ref="I1647" r:id="rId201" display="https://online.bamu.ac.in/naac_ssr/file_upload/28_42692_4196.pdf"/>
    <hyperlink ref="I1657" r:id="rId202" display="https://online.bamu.ac.in/naac_ssr/file_upload/30_33407_9726.pdf"/>
    <hyperlink ref="I1658" r:id="rId203" display="https://online.bamu.ac.in/naac_ssr/file_upload/30_37002_1815.pdf"/>
    <hyperlink ref="I1659" r:id="rId204" display="https://online.bamu.ac.in/naac_ssr/file_upload/30_41081_9331.pdf"/>
    <hyperlink ref="I1671" r:id="rId205" display="https://online.bamu.ac.in/naac_ssr/file_upload/31_27594_9493.pdf"/>
    <hyperlink ref="I1674" r:id="rId206" display="https://online.bamu.ac.in/naac_ssr/file_upload/31_27598_4879.pdf"/>
    <hyperlink ref="I1693" r:id="rId207" display="https://online.bamu.ac.in/naac_ssr/file_upload/33_49693_7722.pdf"/>
    <hyperlink ref="I1694" r:id="rId208" display="https://online.bamu.ac.in/naac_ssr/file_upload/33_49700_9933.pdf"/>
    <hyperlink ref="I1695" r:id="rId209" display="https://online.bamu.ac.in/naac_ssr/file_upload/33_49745_3262.pdf"/>
    <hyperlink ref="I1696" r:id="rId210" display="https://online.bamu.ac.in/naac_ssr/file_upload/33_49746_2988.pdf"/>
    <hyperlink ref="I1697" r:id="rId211" display="https://online.bamu.ac.in/naac_ssr/file_upload/33_49750_1867.pdf"/>
    <hyperlink ref="I1699" r:id="rId212" display="https://online.bamu.ac.in/naac_ssr/file_upload/34_31446_4271.pdf"/>
    <hyperlink ref="I1702" r:id="rId213" display="https://online.bamu.ac.in/naac_ssr/file_upload/34_31484_1752.pdf"/>
    <hyperlink ref="I1703" r:id="rId214" display="https://online.bamu.ac.in/naac_ssr/file_upload/34_31558_2877.pdf"/>
    <hyperlink ref="I1704" r:id="rId215" display="https://online.bamu.ac.in/naac_ssr/file_upload/34_31559_7799.pdf"/>
    <hyperlink ref="I1705" r:id="rId216" display="https://online.bamu.ac.in/naac_ssr/file_upload/34_31571_1144.pdf"/>
    <hyperlink ref="I1707" r:id="rId217" display="https://online.bamu.ac.in/naac_ssr/file_upload/35_32743_5147.pdf"/>
    <hyperlink ref="I1708" r:id="rId218" display="https://online.bamu.ac.in/naac_ssr/file_upload/36_26410_9661.pdf"/>
    <hyperlink ref="I1709" r:id="rId219" display="https://online.bamu.ac.in/naac_ssr/file_upload/36_51530_7582.pdf"/>
    <hyperlink ref="I1712" r:id="rId220" display="https://online.bamu.ac.in/naac_ssr/file_upload/39_52147_6333.pdf"/>
    <hyperlink ref="I1758" r:id="rId221" display="https://online.bamu.ac.in/naac_ssr/file_upload/39_56993_9632.pdf"/>
    <hyperlink ref="I1759" r:id="rId222" display="https://online.bamu.ac.in/naac_ssr/file_upload/39_56997_1665.pdf"/>
    <hyperlink ref="I1760" r:id="rId223" display="https://online.bamu.ac.in/naac_ssr/file_upload/39_57001_9567.pdf"/>
    <hyperlink ref="I1766" r:id="rId224" display="https://online.bamu.ac.in/naac_ssr/file_upload/39_57008_4486.pdf"/>
    <hyperlink ref="I1767" r:id="rId225" display="https://online.bamu.ac.in/naac_ssr/file_upload/39_57013_5892.pdf"/>
    <hyperlink ref="I1768" r:id="rId226" display="https://online.bamu.ac.in/naac_ssr/file_upload/40_55402_7433.pdf"/>
    <hyperlink ref="I1769" r:id="rId227" display="https://online.bamu.ac.in/naac_ssr/file_upload/40_55406_1471.pdf"/>
    <hyperlink ref="I1770" r:id="rId228" display="https://online.bamu.ac.in/naac_ssr/file_upload/40_52248_3964.pdf"/>
    <hyperlink ref="I1771" r:id="rId229" display="https://online.bamu.ac.in/naac_ssr/file_upload/40_54252_9483.pdf"/>
    <hyperlink ref="I1772" r:id="rId230" display="https://online.bamu.ac.in/naac_ssr/file_upload/40_50573_9353.pdf"/>
    <hyperlink ref="I1777" r:id="rId231" display="https://online.bamu.ac.in/naac_ssr/file_upload/42_58888_9487.pdf"/>
    <hyperlink ref="I1778" r:id="rId232" display="https://online.bamu.ac.in/naac_ssr/file_upload/42_50870_1833.pdf"/>
    <hyperlink ref="I1779" r:id="rId233" display="https://online.bamu.ac.in/naac_ssr/file_upload/42_50871_2974.pdf"/>
    <hyperlink ref="I1781" r:id="rId234" display="https://online.bamu.ac.in/naac_ssr/file_upload/43_54432_3475.pdf"/>
    <hyperlink ref="I1782" r:id="rId235" display="https://online.bamu.ac.in/naac_ssr/file_upload/43_54435_3296.pdf"/>
    <hyperlink ref="I1783" r:id="rId236" display="https://online.bamu.ac.in/naac_ssr/file_upload/43_54436_6484.pdf"/>
    <hyperlink ref="I1784" r:id="rId237" display="https://online.bamu.ac.in/naac_ssr/file_upload/43_54437_5753.pdf"/>
    <hyperlink ref="I1785" r:id="rId238" display="https://online.bamu.ac.in/naac_ssr/file_upload/43_54440_9357.pdf"/>
    <hyperlink ref="I1786" r:id="rId239" display="https://online.bamu.ac.in/naac_ssr/file_upload/43_54047_2691.pdf"/>
    <hyperlink ref="I1787" r:id="rId240" display="https://online.bamu.ac.in/naac_ssr/file_upload/43_54048_2763.pdf"/>
    <hyperlink ref="I1788" r:id="rId241" display="https://online.bamu.ac.in/naac_ssr/file_upload/43_54049_7789.pdf"/>
    <hyperlink ref="I1789" r:id="rId242" display="https://online.bamu.ac.in/naac_ssr/file_upload/43_54050_7581.pdf"/>
    <hyperlink ref="I1790" r:id="rId243" display="https://online.bamu.ac.in/naac_ssr/file_upload/43_54051_4836.pdf"/>
    <hyperlink ref="I1791" r:id="rId244" display="https://online.bamu.ac.in/naac_ssr/file_upload/43_54227_9325.pdf"/>
    <hyperlink ref="I1792" r:id="rId245" display="https://online.bamu.ac.in/naac_ssr/file_upload/43_54230_8138.pdf"/>
    <hyperlink ref="I1793" r:id="rId246" display="https://online.bamu.ac.in/naac_ssr/file_upload/43_54268_2932.pdf"/>
    <hyperlink ref="I1794" r:id="rId247" display="https://online.bamu.ac.in/naac_ssr/file_upload/43_54273_8864.pdf"/>
    <hyperlink ref="I1795" r:id="rId248" display="https://online.bamu.ac.in/naac_ssr/file_upload/43_54334_6311.pdf"/>
    <hyperlink ref="I1796" r:id="rId249" display="https://online.bamu.ac.in/naac_ssr/file_upload/43_54342_9514.pdf"/>
    <hyperlink ref="I1797" r:id="rId250" display="https://online.bamu.ac.in/naac_ssr/file_upload/43_54351_8182.pdf"/>
    <hyperlink ref="I1798" r:id="rId251" display="https://online.bamu.ac.in/naac_ssr/file_upload/43_54453_1768.pdf"/>
    <hyperlink ref="I1799" r:id="rId252" display="https://online.bamu.ac.in/naac_ssr/file_upload/43_54478_4414.pdf"/>
    <hyperlink ref="I1800" r:id="rId253" display="https://online.bamu.ac.in/naac_ssr/file_upload/43_54479_1748.pdf"/>
    <hyperlink ref="I1801" r:id="rId254" display="https://online.bamu.ac.in/naac_ssr/file_upload/43_54059_5161.pdf"/>
    <hyperlink ref="I1802" r:id="rId255" display="https://online.bamu.ac.in/naac_ssr/file_upload/43_54060_1872.pdf"/>
    <hyperlink ref="I1803" r:id="rId256" display="https://online.bamu.ac.in/naac_ssr/file_upload/43_54061_9313.pdf"/>
    <hyperlink ref="I1804" r:id="rId257" display="https://online.bamu.ac.in/naac_ssr/file_upload/43_54062_6742.pdf"/>
    <hyperlink ref="I1806" r:id="rId258" display="https://online.bamu.ac.in/naac_ssr/file_upload/43_54174_8476.pdf"/>
    <hyperlink ref="I1807" r:id="rId259" display="https://online.bamu.ac.in/naac_ssr/file_upload/43_54190_4324.pdf"/>
    <hyperlink ref="I1808" r:id="rId260" display="https://online.bamu.ac.in/naac_ssr/file_upload/43_54209_3777.pdf"/>
    <hyperlink ref="I1809" r:id="rId261" display="https://online.bamu.ac.in/naac_ssr/file_upload/43_54431_1725.pdf"/>
    <hyperlink ref="I1810" r:id="rId262" display="https://online.bamu.ac.in/naac_ssr/file_upload/43_54446_4575.pdf"/>
    <hyperlink ref="I1811" r:id="rId263" display="https://online.bamu.ac.in/naac_ssr/file_upload/43_53919_9589.pdf"/>
    <hyperlink ref="I1812" r:id="rId264" display="https://online.bamu.ac.in/naac_ssr/file_upload/43_54068_4238.pdf"/>
    <hyperlink ref="I1813" r:id="rId265" display="https://online.bamu.ac.in/naac_ssr/file_upload/43_54069_6532.pdf"/>
    <hyperlink ref="I1814" r:id="rId266" display="https://online.bamu.ac.in/naac_ssr/file_upload/43_54071_4756.pdf"/>
    <hyperlink ref="I1815" r:id="rId267" display="https://online.bamu.ac.in/naac_ssr/file_upload/43_54072_3168.pdf"/>
    <hyperlink ref="I1816" r:id="rId268" display="https://online.bamu.ac.in/naac_ssr/file_upload/43_54074_2152.pdf"/>
    <hyperlink ref="I1817" r:id="rId269" display="https://online.bamu.ac.in/naac_ssr/file_upload/43_54080_6797.pdf"/>
    <hyperlink ref="I1818" r:id="rId270" display="https://online.bamu.ac.in/naac_ssr/file_upload/43_54162_4775.pdf"/>
    <hyperlink ref="I1819" r:id="rId271" display="https://online.bamu.ac.in/naac_ssr/file_upload/43_54163_7645.pdf"/>
    <hyperlink ref="I1820" r:id="rId272" display="https://online.bamu.ac.in/naac_ssr/file_upload/43_54164_4528.pdf"/>
    <hyperlink ref="I1821" r:id="rId273" display="https://online.bamu.ac.in/naac_ssr/file_upload/43_54165_4846.pdf"/>
    <hyperlink ref="I1822" r:id="rId274" display="https://online.bamu.ac.in/naac_ssr/file_upload/43_54166_5422.pdf"/>
    <hyperlink ref="I1823" r:id="rId275" display="https://online.bamu.ac.in/naac_ssr/file_upload/43_54172_4172.pdf"/>
    <hyperlink ref="I1824" r:id="rId276" display="https://online.bamu.ac.in/naac_ssr/file_upload/43_54359_1487.pdf"/>
    <hyperlink ref="I1825" r:id="rId277" display="https://online.bamu.ac.in/naac_ssr/file_upload/43_54372_6533.pdf"/>
    <hyperlink ref="I1826" r:id="rId278" display="https://online.bamu.ac.in/naac_ssr/file_upload/43_54378_4119.pdf"/>
    <hyperlink ref="I1827" r:id="rId279" display="https://online.bamu.ac.in/naac_ssr/file_upload/43_54383_7727.pdf"/>
    <hyperlink ref="I1828" r:id="rId280" display="https://online.bamu.ac.in/naac_ssr/file_upload/43_54391_1662.pdf"/>
    <hyperlink ref="I1829" r:id="rId281" display="https://online.bamu.ac.in/naac_ssr/file_upload/43_54395_6951.pdf"/>
    <hyperlink ref="I1830" r:id="rId282" display="https://online.bamu.ac.in/naac_ssr/file_upload/43_54413_5144.pdf"/>
    <hyperlink ref="I1831" r:id="rId283" display="https://online.bamu.ac.in/naac_ssr/file_upload/43_54460_2917.pdf"/>
    <hyperlink ref="I1832" r:id="rId284" display="https://online.bamu.ac.in/naac_ssr/file_upload/43_54502_8412.pdf"/>
    <hyperlink ref="I1833" r:id="rId285" display="https://online.bamu.ac.in/naac_ssr/file_upload/43_54522_8592.pdf"/>
    <hyperlink ref="I1837" r:id="rId286" display="https://online.bamu.ac.in/naac_ssr/file_upload/45_40876_5555.pdf"/>
    <hyperlink ref="I1839" r:id="rId287" display="https://online.bamu.ac.in/naac_ssr/file_upload/45_40201_7421.pdf"/>
    <hyperlink ref="I1841" r:id="rId288" display="https://online.bamu.ac.in/naac_ssr/file_upload/45_40246_8634.pdf"/>
    <hyperlink ref="I1842" r:id="rId289" display="https://online.bamu.ac.in/naac_ssr/file_upload/45_40251_1162.pdf"/>
    <hyperlink ref="I1843" r:id="rId290" display="https://online.bamu.ac.in/naac_ssr/file_upload/45_40679_3364.pdf"/>
    <hyperlink ref="I1844" r:id="rId291" display="https://online.bamu.ac.in/naac_ssr/file_upload/45_40698_9388.pdf"/>
    <hyperlink ref="I1845" r:id="rId292" display="https://online.bamu.ac.in/naac_ssr/file_upload/45_40709_1663.pdf"/>
    <hyperlink ref="I1846" r:id="rId293" display="https://online.bamu.ac.in/naac_ssr/file_upload/45_40881_3647.pdf"/>
    <hyperlink ref="I1847" r:id="rId294" display="https://online.bamu.ac.in/naac_ssr/file_upload/45_48256_3557.pdf"/>
    <hyperlink ref="I1848" r:id="rId295" display="https://online.bamu.ac.in/naac_ssr/file_upload/45_52392_1727.pdf"/>
    <hyperlink ref="I1849" r:id="rId296" display="https://online.bamu.ac.in/naac_ssr/file_upload/46_26752_9994.pdf"/>
    <hyperlink ref="I1850" r:id="rId297" display="https://online.bamu.ac.in/naac_ssr/file_upload/46_54775_8646.pdf"/>
    <hyperlink ref="I1851" r:id="rId298" display="https://online.bamu.ac.in/naac_ssr/file_upload/46_54778_7715.pdf"/>
    <hyperlink ref="I1852" r:id="rId299" display="https://online.bamu.ac.in/naac_ssr/file_upload/46_47503_7983.pdf"/>
    <hyperlink ref="I1853" r:id="rId300" display="https://online.bamu.ac.in/naac_ssr/file_upload/47_36020_6665.pdf"/>
    <hyperlink ref="I1854" r:id="rId301" display="https://online.bamu.ac.in/naac_ssr/file_upload/47_43846_7938.pdf"/>
    <hyperlink ref="I1855" r:id="rId302" display="https://online.bamu.ac.in/naac_ssr/file_upload/47_43847_6596.pdf"/>
    <hyperlink ref="I1856" r:id="rId303" display="https://online.bamu.ac.in/naac_ssr/file_upload/47_43849_5271.pdf"/>
    <hyperlink ref="I1857" r:id="rId304" display="https://online.bamu.ac.in/naac_ssr/file_upload/47_43885_5154.pdf"/>
    <hyperlink ref="I1858" r:id="rId305" display="https://online.bamu.ac.in/naac_ssr/file_upload/47_43887_1714.pdf"/>
    <hyperlink ref="I1859" r:id="rId306" display="https://online.bamu.ac.in/naac_ssr/file_upload/47_47343_8633.pdf"/>
    <hyperlink ref="I1860" r:id="rId307" display="https://online.bamu.ac.in/naac_ssr/file_upload/48_38342_2288.pdf"/>
    <hyperlink ref="I1861" r:id="rId308" display="https://online.bamu.ac.in/naac_ssr/file_upload/49_44409_6723.pdf"/>
    <hyperlink ref="I1908" r:id="rId309" display="https://online.bamu.ac.in/naac_ssr/file_upload/54_40387_4616.pdf"/>
    <hyperlink ref="I1909" r:id="rId310" display="https://online.bamu.ac.in/naac_ssr/file_upload/54_40394_7292.pdf"/>
    <hyperlink ref="I1910" r:id="rId311" display="https://online.bamu.ac.in/naac_ssr/file_upload/54_40400_2578.pdf"/>
    <hyperlink ref="I1911" r:id="rId312" display="https://online.bamu.ac.in/naac_ssr/file_upload/54_40402_7767.pdf"/>
    <hyperlink ref="I1912" r:id="rId313" display="https://online.bamu.ac.in/naac_ssr/file_upload/54_40405_2797.pdf"/>
    <hyperlink ref="I1913" r:id="rId314" display="https://online.bamu.ac.in/naac_ssr/file_upload/54_40409_1295.pdf"/>
    <hyperlink ref="I1925" r:id="rId315" display="https://online.bamu.ac.in/naac_ssr/file_upload/54_48784_7365.pdf"/>
    <hyperlink ref="I1926" r:id="rId316" display="https://online.bamu.ac.in/naac_ssr/file_upload/54_48791_6822.pdf"/>
    <hyperlink ref="I1927" r:id="rId317" display="https://online.bamu.ac.in/naac_ssr/file_upload/54_48793_9777.pdf"/>
    <hyperlink ref="I1928" r:id="rId318" display="https://online.bamu.ac.in/naac_ssr/file_upload/54_48795_6247.pdf"/>
    <hyperlink ref="I1936" r:id="rId319" display="https://online.bamu.ac.in/naac_ssr/file_upload/58_58315_7279.pdf"/>
    <hyperlink ref="I1937" r:id="rId320" display="https://online.bamu.ac.in/naac_ssr/file_upload/60_54704_6175.pdf"/>
    <hyperlink ref="I1938" r:id="rId321" display="https://online.bamu.ac.in/naac_ssr/file_upload/60_57372_4241.pdf"/>
    <hyperlink ref="I1939" r:id="rId322" display="https://online.bamu.ac.in/naac_ssr/file_upload/62_33168_9191.pdf"/>
    <hyperlink ref="I1949" r:id="rId323" display="https://online.bamu.ac.in/naac_ssr/file_upload/65_56055_3333.pdf"/>
    <hyperlink ref="I1954" r:id="rId324" display="https://online.bamu.ac.in/naac_ssr/file_upload/73_44056_3742.pdf"/>
    <hyperlink ref="I1955" r:id="rId325" display="https://online.bamu.ac.in/naac_ssr/file_upload/101_24777_8717.pdf"/>
    <hyperlink ref="I1956" r:id="rId326" display="https://online.bamu.ac.in/naac_ssr/file_upload/101_24801_3512.pdf"/>
    <hyperlink ref="I1957" r:id="rId327" display="https://online.bamu.ac.in/naac_ssr/file_upload/101_24832_6196.pdf"/>
    <hyperlink ref="I1958" r:id="rId328" display="https://online.bamu.ac.in/naac_ssr/file_upload/101_24833_4619.pdf"/>
    <hyperlink ref="I1962" r:id="rId329" display="https://online.bamu.ac.in/naac_ssr/file_upload/101_30882_7284.pdf"/>
    <hyperlink ref="I1963" r:id="rId330" display="https://online.bamu.ac.in/naac_ssr/file_upload/101_35859_4218.pdf"/>
    <hyperlink ref="I1965" r:id="rId331" display="https://online.bamu.ac.in/naac_ssr/file_upload/101_46552_6366.pdf"/>
    <hyperlink ref="I1968" r:id="rId332" display="https://online.bamu.ac.in/naac_ssr/file_upload/1030_53196_7121.pdf"/>
    <hyperlink ref="I1970" r:id="rId333" location="detailBullets_feature_div"/>
    <hyperlink ref="I1967" r:id="rId334"/>
    <hyperlink ref="I1966" r:id="rId335"/>
    <hyperlink ref="I1964" r:id="rId336"/>
    <hyperlink ref="I1961" r:id="rId337"/>
    <hyperlink ref="I1960" r:id="rId338"/>
    <hyperlink ref="I1959" r:id="rId339"/>
    <hyperlink ref="I1953" r:id="rId340"/>
    <hyperlink ref="I1952" r:id="rId341"/>
    <hyperlink ref="I1951" r:id="rId342"/>
    <hyperlink ref="I1950" r:id="rId343"/>
    <hyperlink ref="I1942" r:id="rId344"/>
    <hyperlink ref="I1941" r:id="rId345"/>
    <hyperlink ref="I1940" r:id="rId346"/>
    <hyperlink ref="I1929" r:id="rId347"/>
    <hyperlink ref="I1924" r:id="rId348"/>
    <hyperlink ref="I1923" r:id="rId349"/>
    <hyperlink ref="I1922" r:id="rId350"/>
    <hyperlink ref="I1921" r:id="rId351"/>
    <hyperlink ref="I1920" r:id="rId352"/>
    <hyperlink ref="I1919" r:id="rId353"/>
    <hyperlink ref="I1918" r:id="rId354"/>
    <hyperlink ref="I1917" r:id="rId355"/>
    <hyperlink ref="I1916" r:id="rId356"/>
    <hyperlink ref="I1915" r:id="rId357"/>
    <hyperlink ref="I1914" r:id="rId358"/>
    <hyperlink ref="I1907" r:id="rId359"/>
    <hyperlink ref="I1906" r:id="rId360"/>
    <hyperlink ref="I1905" r:id="rId361"/>
    <hyperlink ref="I1904" r:id="rId362"/>
    <hyperlink ref="I1902" r:id="rId363" location=":~:text=Pure%20phase%20formation%20of%20nickel,and%2018.1emu%2Fgm%20respectively."/>
    <hyperlink ref="I1901" r:id="rId364"/>
    <hyperlink ref="I1903" r:id="rId365" location=":~:text=Nickel%20ferrite%20nanoparticles%20were%20successfully,sol%2Dgel%20auto%20combustion%20method."/>
    <hyperlink ref="I1900" r:id="rId366"/>
    <hyperlink ref="I1899" r:id="rId367"/>
    <hyperlink ref="I1898" r:id="rId368"/>
    <hyperlink ref="I1897" r:id="rId369"/>
    <hyperlink ref="I1896" r:id="rId370"/>
    <hyperlink ref="I1895" r:id="rId371"/>
    <hyperlink ref="I1894" r:id="rId372"/>
    <hyperlink ref="I1893" r:id="rId373" location=":~:text=Obtained%20shielding%20parameters%20were%20observed,as%20compared%20to%20other%20materials."/>
    <hyperlink ref="I1892" r:id="rId374"/>
    <hyperlink ref="I1891" r:id="rId375"/>
    <hyperlink ref="I1890" r:id="rId376"/>
    <hyperlink ref="I1889" r:id="rId377"/>
    <hyperlink ref="I1888" r:id="rId378"/>
    <hyperlink ref="I1887" r:id="rId379"/>
    <hyperlink ref="I1886" r:id="rId380"/>
    <hyperlink ref="I1885" r:id="rId381"/>
    <hyperlink ref="I1884" r:id="rId382"/>
    <hyperlink ref="I1883" r:id="rId383"/>
    <hyperlink ref="I1882" r:id="rId384"/>
    <hyperlink ref="I1881" r:id="rId385"/>
    <hyperlink ref="I1880" r:id="rId386"/>
    <hyperlink ref="I1879" r:id="rId387"/>
    <hyperlink ref="I1878" r:id="rId388"/>
    <hyperlink ref="I1877" r:id="rId389"/>
    <hyperlink ref="I1876" r:id="rId390"/>
    <hyperlink ref="I1875" r:id="rId391"/>
    <hyperlink ref="I1874" r:id="rId392"/>
    <hyperlink ref="I1873" r:id="rId393"/>
    <hyperlink ref="I1872" r:id="rId394"/>
    <hyperlink ref="I1870" r:id="rId395"/>
    <hyperlink ref="I1869" r:id="rId396"/>
    <hyperlink ref="I1868" r:id="rId397"/>
    <hyperlink ref="I1867" r:id="rId398"/>
    <hyperlink ref="I1866" r:id="rId399"/>
    <hyperlink ref="I1840" r:id="rId400"/>
    <hyperlink ref="I1765" r:id="rId401"/>
    <hyperlink ref="I1763" display="https://www.amazon.in/-/hi/Bharti-Gore/dp/B0CQK7N1J2/ref=sr_1_1?dib=eyJ2IjoiMSJ9.mOS_Z_amGl0rLB0XV6pVccXnzw0yYV6GM7B5cakT3LxM9XLGhZm4U5zJUQ-fy0AkuvOyYcgoEun02saiL8GOS1pVxozfuHXOpAMbHFcGxq6lIcOUXVqrg4El0ZII4HGu.z9P7smVT9sqGMRPwwjr3sQ_iLRjhjxA8Lgp2NiicWBc&amp;d"/>
    <hyperlink ref="I1761" display="https://www.amazon.in/-/hi/Bharti-Gore/dp/B0CQK7N1J2/ref=sr_1_1?dib=eyJ2IjoiMSJ9.mOS_Z_amGl0rLB0XV6pVccXnzw0yYV6GM7B5cakT3LxM9XLGhZm4U5zJUQ-fy0AkuvOyYcgoEun02saiL8GOS1pVxozfuHXOpAMbHFcGxq6lIcOUXVqrg4El0ZII4HGu.z9P7smVT9sqGMRPwwjr3sQ_iLRjhjxA8Lgp2NiicWBc&amp;d"/>
    <hyperlink ref="I1646" r:id="rId402"/>
    <hyperlink ref="I1645" r:id="rId403"/>
    <hyperlink ref="I1644" r:id="rId404" location=":~:text=Zoning%20was%20one%20of%20the,considered%20square%2C%20rectangular%20zoning%20patterns."/>
    <hyperlink ref="I1643" r:id="rId405"/>
    <hyperlink ref="I1642" r:id="rId406"/>
    <hyperlink ref="I1641" r:id="rId407" location=":~:text=Then%20apply%20wavelet%20transform%20(Daubechies,then%20colour%20that%20forge%20part."/>
    <hyperlink ref="I1640" r:id="rId408"/>
    <hyperlink ref="I1639" r:id="rId409"/>
    <hyperlink ref="I1660" r:id="rId410"/>
    <hyperlink ref="I1661" r:id="rId411"/>
    <hyperlink ref="I1692" r:id="rId412"/>
    <hyperlink ref="I68" r:id="rId413"/>
    <hyperlink ref="I111" r:id="rId414"/>
    <hyperlink ref="I118" r:id="rId415"/>
    <hyperlink ref="I175" r:id="rId416"/>
    <hyperlink ref="I182:I183" r:id="rId417" display="(View File)"/>
    <hyperlink ref="I232" r:id="rId418"/>
    <hyperlink ref="I240" r:id="rId419"/>
    <hyperlink ref="I252" r:id="rId420"/>
    <hyperlink ref="I315" r:id="rId421"/>
    <hyperlink ref="I330" r:id="rId422"/>
    <hyperlink ref="I354" r:id="rId423"/>
    <hyperlink ref="I426" r:id="rId424"/>
    <hyperlink ref="I749" r:id="rId425"/>
    <hyperlink ref="I918" r:id="rId426"/>
    <hyperlink ref="I1092" r:id="rId427"/>
    <hyperlink ref="I1094" r:id="rId428"/>
    <hyperlink ref="I1099" r:id="rId429"/>
    <hyperlink ref="I1103" r:id="rId430"/>
    <hyperlink ref="I1106" r:id="rId431"/>
    <hyperlink ref="I1108" r:id="rId432"/>
    <hyperlink ref="I1119" r:id="rId433"/>
    <hyperlink ref="I1122:I1123" r:id="rId434" display="(View File)"/>
    <hyperlink ref="I1129:I1147" r:id="rId435" display="(View File)"/>
    <hyperlink ref="I1150:I1153" r:id="rId436" display="(View File)"/>
    <hyperlink ref="I1157:I1160" r:id="rId437" display="(View File)"/>
    <hyperlink ref="I1162:I1164" r:id="rId438" display="(View File)"/>
    <hyperlink ref="I1171" r:id="rId439"/>
    <hyperlink ref="I1173:I1175" r:id="rId440" display="(View File)"/>
    <hyperlink ref="I1178" r:id="rId441"/>
    <hyperlink ref="I1180:I1181" r:id="rId442" display="(View File)"/>
    <hyperlink ref="I1187:I1192" r:id="rId443" display="(View File)"/>
    <hyperlink ref="I1195:I1203" r:id="rId444" display="(View File)"/>
    <hyperlink ref="I1208" r:id="rId445"/>
    <hyperlink ref="I1210:I1214" r:id="rId446" display="(View File)"/>
    <hyperlink ref="I1216:I1235" r:id="rId447" display="(View File)"/>
    <hyperlink ref="I1238:I1240" r:id="rId448" display="(View File)"/>
    <hyperlink ref="I1242:I1244" r:id="rId449" display="(View File)"/>
    <hyperlink ref="I1250" r:id="rId450"/>
    <hyperlink ref="I1264:I1266" r:id="rId451" display="(View File)"/>
    <hyperlink ref="I1269:I1290" r:id="rId452" display="(View File)"/>
    <hyperlink ref="I1294:I1310" r:id="rId453" display="(View File)"/>
    <hyperlink ref="I1312:I1323" r:id="rId454" display="(View File)"/>
    <hyperlink ref="I1325" r:id="rId455"/>
    <hyperlink ref="I1330:I1334" r:id="rId456" display="(View File)"/>
    <hyperlink ref="I1342" r:id="rId457"/>
    <hyperlink ref="I1344" r:id="rId458"/>
    <hyperlink ref="I1370" r:id="rId459"/>
    <hyperlink ref="I1401" r:id="rId460"/>
    <hyperlink ref="I1422" r:id="rId461"/>
    <hyperlink ref="I1424:I1425" r:id="rId462" display="(View File)"/>
    <hyperlink ref="I1428:I1435" r:id="rId463" display="(View File)"/>
    <hyperlink ref="I1438:I1439" r:id="rId464" display="(View File)"/>
    <hyperlink ref="I1442" r:id="rId465"/>
    <hyperlink ref="I1446" r:id="rId466"/>
    <hyperlink ref="I1448:I1455" r:id="rId467" display="(View File)"/>
    <hyperlink ref="I1458" r:id="rId468"/>
    <hyperlink ref="I1460" r:id="rId469"/>
    <hyperlink ref="I1466:I1468" r:id="rId470" display="(View File)"/>
    <hyperlink ref="I1471" r:id="rId471"/>
    <hyperlink ref="I1473:I1476" r:id="rId472" display="(View File)"/>
    <hyperlink ref="I1478:I1482" r:id="rId473" display="(View File)"/>
    <hyperlink ref="I1487:I1491" r:id="rId474" display="(View File)"/>
    <hyperlink ref="I1493" r:id="rId475"/>
    <hyperlink ref="I1495" r:id="rId476"/>
    <hyperlink ref="I1498:I1547" r:id="rId477" display="(View File)"/>
    <hyperlink ref="I1553:I1577" r:id="rId478" display="(View File)"/>
    <hyperlink ref="I1585:I1586" r:id="rId479" display="(View File)"/>
    <hyperlink ref="I1588:I1589" r:id="rId480" display="(View File)"/>
    <hyperlink ref="I1598:I1609" r:id="rId481" display="(View File)"/>
    <hyperlink ref="I1611:I1614" r:id="rId482" display="(View File)"/>
    <hyperlink ref="I1618:I1628" r:id="rId483" display="(View File)"/>
    <hyperlink ref="I1630:I1634" r:id="rId484" display="(View File)"/>
    <hyperlink ref="I1636:I1638" r:id="rId485" display="(View File)"/>
    <hyperlink ref="I1648:I1656" r:id="rId486" display="(View File)"/>
    <hyperlink ref="I1662:I1670" r:id="rId487" display="(View File)"/>
    <hyperlink ref="I1672:I1673" r:id="rId488" display="(View File)"/>
    <hyperlink ref="I1675" r:id="rId489"/>
    <hyperlink ref="I1677:I1691" r:id="rId490" display="(View File)"/>
    <hyperlink ref="I1698" r:id="rId491"/>
    <hyperlink ref="I1700:I1701" r:id="rId492" display="(View File)"/>
    <hyperlink ref="I1706" r:id="rId493"/>
    <hyperlink ref="I1710:I1711" r:id="rId494" display="(View File)"/>
    <hyperlink ref="I1713:I1757" r:id="rId495" display="(View File)"/>
    <hyperlink ref="I1762" r:id="rId496"/>
    <hyperlink ref="I1764" r:id="rId497"/>
    <hyperlink ref="I1773:I1776" r:id="rId498" display="(View File)"/>
    <hyperlink ref="I1780" r:id="rId499"/>
    <hyperlink ref="I1805" r:id="rId500"/>
    <hyperlink ref="I1834:I1836" r:id="rId501" display="(View File)"/>
    <hyperlink ref="I1838" r:id="rId502"/>
    <hyperlink ref="I1862:I1865" r:id="rId503" display="(View File)"/>
    <hyperlink ref="I1930:I1935" r:id="rId504" display="(View File)"/>
    <hyperlink ref="I1943:I1948" r:id="rId505" display="(View File)"/>
    <hyperlink ref="I1969" r:id="rId506"/>
  </hyperlinks>
  <pageMargins left="0.7" right="0.7" top="0.75" bottom="0.75" header="0.3" footer="0.3"/>
  <pageSetup orientation="portrait" r:id="rId5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3.4.5_Revised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2024-06-16T05:02:13Z</cp:lastPrinted>
  <dcterms:created xsi:type="dcterms:W3CDTF">2024-06-16T04:41:13Z</dcterms:created>
  <dcterms:modified xsi:type="dcterms:W3CDTF">2024-06-16T05:38:46Z</dcterms:modified>
</cp:coreProperties>
</file>